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lineri\Desktop\Hemsida\Detaljplan för del av Åmål 4\Utredning Åmål 4\"/>
    </mc:Choice>
  </mc:AlternateContent>
  <xr:revisionPtr revIDLastSave="0" documentId="8_{C1C296D4-CB04-4A50-8341-ECD88A4B8A11}" xr6:coauthVersionLast="45" xr6:coauthVersionMax="45" xr10:uidLastSave="{00000000-0000-0000-0000-000000000000}"/>
  <bookViews>
    <workbookView xWindow="3405" yWindow="2055" windowWidth="21600" windowHeight="11385" activeTab="1" xr2:uid="{00000000-000D-0000-FFFF-FFFF00000000}"/>
  </bookViews>
  <sheets>
    <sheet name="Tabellbeskrivning" sheetId="3" r:id="rId1"/>
    <sheet name="Ljudnivåer vid fasad" sheetId="1" r:id="rId2"/>
  </sheets>
  <definedNames>
    <definedName name="_xlnm._FilterDatabase" localSheetId="1" hidden="1">'Ljudnivåer vid fasad'!$A$4:$U$1355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</calcChain>
</file>

<file path=xl/sharedStrings.xml><?xml version="1.0" encoding="utf-8"?>
<sst xmlns="http://schemas.openxmlformats.org/spreadsheetml/2006/main" count="5491" uniqueCount="690">
  <si>
    <t>Rec No.</t>
  </si>
  <si>
    <t>Fastighet</t>
  </si>
  <si>
    <t>X</t>
  </si>
  <si>
    <t>Y</t>
  </si>
  <si>
    <t>Riktning</t>
  </si>
  <si>
    <t>LAFmax</t>
  </si>
  <si>
    <t>LAeq</t>
  </si>
  <si>
    <t>Bostad;Flerfamiljshus</t>
  </si>
  <si>
    <t>SE</t>
  </si>
  <si>
    <t>NE</t>
  </si>
  <si>
    <t>NW</t>
  </si>
  <si>
    <t>SW</t>
  </si>
  <si>
    <t>Bostad;Småhus friliggande</t>
  </si>
  <si>
    <t>E</t>
  </si>
  <si>
    <t>N</t>
  </si>
  <si>
    <t>S</t>
  </si>
  <si>
    <t>W</t>
  </si>
  <si>
    <t>Bostad;Småhus radhus</t>
  </si>
  <si>
    <t>Fastighetsbeteckning. Traktnamn, block och enhet.</t>
  </si>
  <si>
    <t>Ändamål</t>
  </si>
  <si>
    <t>Byggnadens huvudändamål i text.</t>
  </si>
  <si>
    <t>Väderstreck som fasad, vilken beräkningspunkt är knuten till, vetter mot.</t>
  </si>
  <si>
    <t>Mottagarens nummer i beräkningspogrammet.</t>
  </si>
  <si>
    <t>Karta</t>
  </si>
  <si>
    <t>Klickbar länk till beräkningspunkten i Lantmäteriets karttjänst.</t>
  </si>
  <si>
    <t>X-koordinater för SWEREF99 15 00.</t>
  </si>
  <si>
    <t>Y-koordinater för SWEREF99 15 00.</t>
  </si>
  <si>
    <t>(00–24)</t>
  </si>
  <si>
    <t>(06–22)</t>
  </si>
  <si>
    <t>(22–06)</t>
  </si>
  <si>
    <t>Skillnad</t>
  </si>
  <si>
    <t>2025 Nuläge</t>
  </si>
  <si>
    <t>2040 Nollalternativ</t>
  </si>
  <si>
    <t>2040 Exploatering</t>
  </si>
  <si>
    <t>2040 Expl. - 2040 Nollalt.</t>
  </si>
  <si>
    <t>Skillnad | 2040 Expl. - 2040 Nollalt. | LAeq | (00–24)</t>
  </si>
  <si>
    <t>Skillnad | 2040 Expl. - 2040 Nollalt. | LAFmax | (06–22)</t>
  </si>
  <si>
    <t>Skillnad | 2040 Expl. - 2040 Nollalt. | LAFmax | (22–06)</t>
  </si>
  <si>
    <t>Beräknad ekvivalentnivå [dB] dygn (00–24) i aktuell beräkningspunkt vid situation "2025 Nuläge".</t>
  </si>
  <si>
    <t>Beräknad maximalnivå [dB] dagtid (06–22) i aktuell beräkningspunkt vid situation "2025 Nuläge".</t>
  </si>
  <si>
    <t>Beräknad maximalnivå [dB] nattetid (22–06) i aktuell beräkningspunkt vid situation "2025 Nuläge".</t>
  </si>
  <si>
    <t>Beräknad ekvivalentnivå [dB] dygn (00–24) i aktuell beräkningspunkt vid situation "2040 Nollalternativ".</t>
  </si>
  <si>
    <t>Beräknad maximalnivå [dB] dagtid (06–22) i aktuell beräkningspunkt vid situation "2040 Nollalternativ".</t>
  </si>
  <si>
    <t>Beräknad maximalnivå [dB] nattetid (22–06)) i aktuell beräkningspunkt vid situation "2040 Nollalternativ".</t>
  </si>
  <si>
    <t>Beräknad ekvivalentnivå [dB] dygn (00–24) i aktuell beräkningspunkt vid situation "2040 Exploatering".</t>
  </si>
  <si>
    <t>Beräknad maximalnivå [dB] dagtid (06–22) i aktuell beräkningspunkt vid situation "2040 Exploatering".</t>
  </si>
  <si>
    <t>Beräknad maximalnivå [dB] nattetid (22–06) i aktuell beräkningspunkt vid situation "2040 Exploatering".</t>
  </si>
  <si>
    <t>GUID</t>
  </si>
  <si>
    <t>ID-nummer för byggnad.</t>
  </si>
  <si>
    <t>BECKASINEN 1&gt;1</t>
  </si>
  <si>
    <t>Samhällsfunktion;Skola</t>
  </si>
  <si>
    <t>0a44f743-3486-4a0a-8b19-b0fa34f4dfb7</t>
  </si>
  <si>
    <t>BETSLET 1&gt;1</t>
  </si>
  <si>
    <t>39f132cc-f080-40ed-83e3-60d694b0d412</t>
  </si>
  <si>
    <t>6472e0b4-7b44-45f1-b093-24a5beea0485</t>
  </si>
  <si>
    <t>b06e72f9-2282-43d1-a65d-87a244f58e59</t>
  </si>
  <si>
    <t>b59d19f9-4789-431e-a6b3-fc9bf6b661c0</t>
  </si>
  <si>
    <t>0320e0ef-5887-4aca-97b2-e1a04662ca84</t>
  </si>
  <si>
    <t>b0bf9f9b-4743-4b53-9621-bf63dc967cd1</t>
  </si>
  <si>
    <t>dce2b24d-d7ac-4ba0-a6bb-b9ba083c2807</t>
  </si>
  <si>
    <t>9b1c9473-6632-4b7a-96b4-40585757fb3f</t>
  </si>
  <si>
    <t>42414435-48b9-4640-961b-c54178cc6272</t>
  </si>
  <si>
    <t>10fa1183-7ae4-4a2a-a8b8-4bd47efd0a36</t>
  </si>
  <si>
    <t>BJÖRNEN 1&gt;1</t>
  </si>
  <si>
    <t>111773ea-78c4-4843-a564-a04e758d71f3</t>
  </si>
  <si>
    <t>BJÖRNEN 2&gt;1</t>
  </si>
  <si>
    <t>b38c2730-c88f-425c-82a2-e7c9c371a2d5</t>
  </si>
  <si>
    <t>BJÖRNEN 3&gt;1</t>
  </si>
  <si>
    <t>f60daa6a-9f13-466b-8385-fa3cd2e9b1ed</t>
  </si>
  <si>
    <t>BJÖRNEN 4&gt;1</t>
  </si>
  <si>
    <t>8ab800c8-947c-453f-9c96-4477b47602d7</t>
  </si>
  <si>
    <t>BJÖRNEN 5&gt;1</t>
  </si>
  <si>
    <t>f190d605-5ba5-4a77-9a10-fbf1093e0161</t>
  </si>
  <si>
    <t>BJÖRNEN 6&gt;1</t>
  </si>
  <si>
    <t>18a325dc-e567-469e-879d-a453302d4581</t>
  </si>
  <si>
    <t>BJÖRNEN 7&gt;1</t>
  </si>
  <si>
    <t>6d29766d-1fb6-444b-a406-da63b3274ee3</t>
  </si>
  <si>
    <t>BJÖRNEN 8&gt;1</t>
  </si>
  <si>
    <t>8a36d1b8-6e06-4bc2-bf42-6314cf2fd39c</t>
  </si>
  <si>
    <t>BJÖRNEN 9&gt;1</t>
  </si>
  <si>
    <t>47f5f29d-c8a5-4965-b308-3caf30354268</t>
  </si>
  <si>
    <t>BJÖRNEN 10&gt;1</t>
  </si>
  <si>
    <t>e022f244-ea61-4088-843f-5229722e3e14</t>
  </si>
  <si>
    <t>BRUSHANEN 1&gt;1</t>
  </si>
  <si>
    <t>d97ef222-3b1d-4ef7-bdda-1d8550402f91</t>
  </si>
  <si>
    <t>BRUSHANEN 2&gt;1</t>
  </si>
  <si>
    <t>3866dfdb-ec31-4daa-abab-92ffe721b76d</t>
  </si>
  <si>
    <t>BRUSHANEN 3&gt;1</t>
  </si>
  <si>
    <t>8318a41e-c97a-4a81-93ec-f0e65c212961</t>
  </si>
  <si>
    <t>BRUSHANEN 4&gt;1</t>
  </si>
  <si>
    <t>519b51b1-6c75-44b8-a176-8e0b0682f584</t>
  </si>
  <si>
    <t>BRUSHANEN 5&gt;1</t>
  </si>
  <si>
    <t>ac8c0fc2-e2e1-43df-8bff-ac24b1076ff6</t>
  </si>
  <si>
    <t>BRUSHANEN 6&gt;1</t>
  </si>
  <si>
    <t>29b8a36a-72a6-4edf-b0f0-607b2273d0c8</t>
  </si>
  <si>
    <t>BRUSHANEN 7&gt;1</t>
  </si>
  <si>
    <t>35c8712d-0769-44bb-a45a-9e00ac3becd0</t>
  </si>
  <si>
    <t>BRUSHANEN 8&gt;1</t>
  </si>
  <si>
    <t>23338348-2a83-48bb-9f94-21f0d84a39be</t>
  </si>
  <si>
    <t>BRUSHANEN 9&gt;1</t>
  </si>
  <si>
    <t>703f6980-b30f-42d5-9b79-a0e27c5fd948</t>
  </si>
  <si>
    <t>BRUSHANEN 10&gt;1</t>
  </si>
  <si>
    <t>83c0c888-b840-41c6-82e9-ec2ed1de46b5</t>
  </si>
  <si>
    <t>BRUSHANEN 11&gt;1</t>
  </si>
  <si>
    <t>0641ffdc-8133-4257-b856-df656931da32</t>
  </si>
  <si>
    <t>BRUSHANEN 12&gt;1</t>
  </si>
  <si>
    <t>481bff37-1ce9-4bec-98ff-4f7f2320f2e4</t>
  </si>
  <si>
    <t>EJDERN 1&gt;1</t>
  </si>
  <si>
    <t>59a55e7e-6e20-4d3a-b5a7-5911bc5a8dcf</t>
  </si>
  <si>
    <t>EJDERN 2&gt;1</t>
  </si>
  <si>
    <t>60013de9-d587-4bd8-8137-fe86734b3988</t>
  </si>
  <si>
    <t>EJDERN 3&gt;1</t>
  </si>
  <si>
    <t>3838602e-9c17-42e9-91b4-b1520d5de5c2</t>
  </si>
  <si>
    <t>EJDERN 4&gt;1</t>
  </si>
  <si>
    <t>c3db0b65-ce9e-4d2f-8a73-4e06c26fc557</t>
  </si>
  <si>
    <t>EJDERN 5&gt;1</t>
  </si>
  <si>
    <t>8a11beb1-8513-47d7-b043-96e3561cb65a</t>
  </si>
  <si>
    <t>EJDERN 6&gt;1</t>
  </si>
  <si>
    <t>e8da6a91-1013-45e1-851d-b4c7e7015565</t>
  </si>
  <si>
    <t>EJDERN 7&gt;1</t>
  </si>
  <si>
    <t>25262ba8-51c8-40aa-bda2-da6b2b5ba7be</t>
  </si>
  <si>
    <t>EJDERN 8&gt;1</t>
  </si>
  <si>
    <t>b4eb31ad-1d10-4ac2-aa43-8d6657d730f6</t>
  </si>
  <si>
    <t>EJDERN 9&gt;1</t>
  </si>
  <si>
    <t>7fd9ae67-49f9-4c8a-82a0-37a8bf7570cc</t>
  </si>
  <si>
    <t>EJDERN 10&gt;1</t>
  </si>
  <si>
    <t>311fc837-e7f7-4165-a1df-cb995c99ee3f</t>
  </si>
  <si>
    <t>ELISEBERG 8&gt;1</t>
  </si>
  <si>
    <t>9bf756cc-db2e-4905-b86e-3471a7335752</t>
  </si>
  <si>
    <t>ELISEBERG 9&gt;1</t>
  </si>
  <si>
    <t>d0be0e23-935c-47f5-b883-d9ebd7ce1d89</t>
  </si>
  <si>
    <t>ELISEBERG 10&gt;1</t>
  </si>
  <si>
    <t>9a670085-1ebc-4167-a76a-74431f2b8adf</t>
  </si>
  <si>
    <t>ELISEBERG 11&gt;1</t>
  </si>
  <si>
    <t>48ad9277-ba1b-4c28-bb80-8a4da831ebe6</t>
  </si>
  <si>
    <t>ELISEBERG 12&gt;1</t>
  </si>
  <si>
    <t>9c0087e8-8482-4573-8691-6e4548158bcb</t>
  </si>
  <si>
    <t>ELISEBERG 24&gt;1</t>
  </si>
  <si>
    <t>6af74492-a1d5-494b-9b19-5141e8dae88d</t>
  </si>
  <si>
    <t>ELISEBERG 25&gt;1</t>
  </si>
  <si>
    <t>cd079121-b354-42de-8b06-d1de0652f5c9</t>
  </si>
  <si>
    <t>ELISEBERG 26&gt;1</t>
  </si>
  <si>
    <t>d468c3d0-abc1-4911-a1ba-2cb79e5fdacd</t>
  </si>
  <si>
    <t>ELISEBERG 27&gt;1</t>
  </si>
  <si>
    <t>53114931-02b8-4ef5-b6d5-00c25eb88737</t>
  </si>
  <si>
    <t>ELISEBERG 28&gt;1</t>
  </si>
  <si>
    <t>37145d41-823a-4cc5-a621-21877f3af8dc</t>
  </si>
  <si>
    <t>ELISEBERG 29&gt;1</t>
  </si>
  <si>
    <t>94eb305b-74e9-4dd4-97f4-1359e00c0baf</t>
  </si>
  <si>
    <t>ELISEBERG 30&gt;1</t>
  </si>
  <si>
    <t>d59d693b-aa51-4165-b241-4ad2d8a78aa4</t>
  </si>
  <si>
    <t>ELISEBERG 31&gt;1</t>
  </si>
  <si>
    <t>23e53467-36ba-4aa9-bbd3-70ddb05e8aa1</t>
  </si>
  <si>
    <t>ELISEBERG 32&gt;1</t>
  </si>
  <si>
    <t>af5d0170-ceab-4518-ab12-c19411288326</t>
  </si>
  <si>
    <t>ELISEBERG 33&gt;1</t>
  </si>
  <si>
    <t>f8146636-b797-4b17-b1d7-dd8cbc92747f</t>
  </si>
  <si>
    <t>ELISEBERG 34&gt;1</t>
  </si>
  <si>
    <t>7f65b7a5-c2cb-4432-81ba-27d44f1dd707</t>
  </si>
  <si>
    <t>ELISEBERG 35&gt;1</t>
  </si>
  <si>
    <t>dacf08b6-128a-4d7a-892c-1ce780c1fe87</t>
  </si>
  <si>
    <t>ELISEBERG 36&gt;1</t>
  </si>
  <si>
    <t>eada3b72-2d8f-4ea0-bef6-32e006c7ffa1</t>
  </si>
  <si>
    <t>ELISEBERG 37&gt;1</t>
  </si>
  <si>
    <t>3bddaea7-5755-49c7-b02b-c2b27aea33ab</t>
  </si>
  <si>
    <t>ELISEBERG 38&gt;1</t>
  </si>
  <si>
    <t>a793d141-1fe5-4bc0-8821-e0f32b7c1074</t>
  </si>
  <si>
    <t>ELISEBERG 39&gt;1</t>
  </si>
  <si>
    <t>4ee1716d-0868-4dfd-bd82-0cc1f4ddc954</t>
  </si>
  <si>
    <t>ELISEBERG 40&gt;1</t>
  </si>
  <si>
    <t>f3f03f15-d67c-44ed-b139-137da1cab8d3</t>
  </si>
  <si>
    <t>FALKLOTTEN 2&gt;1</t>
  </si>
  <si>
    <t>f0be33ba-6433-4581-b2c8-224221bc915f</t>
  </si>
  <si>
    <t>FALKLOTTEN 3&gt;1</t>
  </si>
  <si>
    <t>cbf4c07b-d87a-4593-9349-a2c8cde8e9ff</t>
  </si>
  <si>
    <t>FALKLOTTEN 4&gt;1</t>
  </si>
  <si>
    <t>5381232c-6fa8-4eee-b8ed-f3755cb122a2</t>
  </si>
  <si>
    <t>HAREN 1&gt;1</t>
  </si>
  <si>
    <t>22cdc9b5-b4f3-48fc-899d-7261141a0489</t>
  </si>
  <si>
    <t>HAREN 2&gt;1</t>
  </si>
  <si>
    <t>0ea5bfa9-065d-4b03-bdc2-33da37eb024c</t>
  </si>
  <si>
    <t>HAREN 3&gt;1</t>
  </si>
  <si>
    <t>12d5dc67-1f23-441e-8887-3d055c95dd71</t>
  </si>
  <si>
    <t>HAREN 4&gt;1</t>
  </si>
  <si>
    <t>c23878d5-c13b-43fb-a0a4-e2864dd88801</t>
  </si>
  <si>
    <t>HAREN 6&gt;1</t>
  </si>
  <si>
    <t>68d46b53-5321-43c5-985f-4241cc22b365</t>
  </si>
  <si>
    <t>HAREN 7&gt;1</t>
  </si>
  <si>
    <t>3b4dd8c6-c785-4739-bad6-f9e96aed5d4c</t>
  </si>
  <si>
    <t>HAREN 8&gt;1</t>
  </si>
  <si>
    <t>aea2311e-a301-4946-b99c-2600f8a2a8cf</t>
  </si>
  <si>
    <t>HAREN 9&gt;1</t>
  </si>
  <si>
    <t>03807743-b8d4-4234-97a5-11419a3e1928</t>
  </si>
  <si>
    <t>HAREN 12&gt;1</t>
  </si>
  <si>
    <t>cc4859d7-f32e-4642-8dfd-e98a2f21b6dc</t>
  </si>
  <si>
    <t>HAREN 16&gt;1</t>
  </si>
  <si>
    <t>12dcf735-de8a-423a-ab98-cb5a38d76a4d</t>
  </si>
  <si>
    <t>HAREN 17&gt;1</t>
  </si>
  <si>
    <t>66e577df-a249-4fab-b4db-74959f8f8663</t>
  </si>
  <si>
    <t>HAREN 18&gt;1</t>
  </si>
  <si>
    <t>37c589d6-fa74-4f77-9a11-335dd3e1dc55</t>
  </si>
  <si>
    <t>HAREN 19&gt;1</t>
  </si>
  <si>
    <t>bd59e32d-3e2c-4564-b4f6-78c7ef237181</t>
  </si>
  <si>
    <t>HAREN 22&gt;1</t>
  </si>
  <si>
    <t>098bc61b-b827-4c3c-acf3-df030be6597b</t>
  </si>
  <si>
    <t>HAREN 23&gt;1</t>
  </si>
  <si>
    <t>220fb6fd-f3a1-4ece-b09e-3ff5e56947e0</t>
  </si>
  <si>
    <t>HAREN 24&gt;1</t>
  </si>
  <si>
    <t>c28be783-e184-4321-b635-407024b424aa</t>
  </si>
  <si>
    <t>HAREN 25&gt;1</t>
  </si>
  <si>
    <t>fbc6d938-4ab6-4aca-839e-7624523d641b</t>
  </si>
  <si>
    <t>HAREN 26&gt;1</t>
  </si>
  <si>
    <t>d17d9bb2-dafa-472a-b2d7-1f76d297fc80</t>
  </si>
  <si>
    <t>HAREN 27&gt;1</t>
  </si>
  <si>
    <t>36ca2ff8-1f77-48fa-8e62-05ff7463cfce</t>
  </si>
  <si>
    <t>HAREN 28&gt;1</t>
  </si>
  <si>
    <t>b30febeb-ccbb-45b6-a089-ee561d32eda5</t>
  </si>
  <si>
    <t>HAREN 29&gt;1</t>
  </si>
  <si>
    <t>ba1bef09-1c88-4ec7-a0d4-671df6078292</t>
  </si>
  <si>
    <t>HAREN 35&gt;1</t>
  </si>
  <si>
    <t>77e6bca0-cba5-47fc-b659-e47791aab295</t>
  </si>
  <si>
    <t>HAREN 36&gt;1</t>
  </si>
  <si>
    <t>615d5e87-3d04-4d6e-a609-fb3f9890b228</t>
  </si>
  <si>
    <t>HAREN 37&gt;1</t>
  </si>
  <si>
    <t>56aea480-f3b9-4e06-924d-087ba70ff1cb</t>
  </si>
  <si>
    <t>HAREN 38&gt;1</t>
  </si>
  <si>
    <t>89514f1a-bbca-40ef-b5ad-8fcea724b638</t>
  </si>
  <si>
    <t>HAREN 39&gt;1</t>
  </si>
  <si>
    <t>0e310eba-5a1a-4553-a5be-8db731c1de78</t>
  </si>
  <si>
    <t>HAREN 40&gt;1</t>
  </si>
  <si>
    <t>917211ca-cc31-4534-b6c1-6b4de00fa9d3</t>
  </si>
  <si>
    <t>HAREN 41&gt;1</t>
  </si>
  <si>
    <t>7d48dc96-d3ad-4303-b3c8-98e2da036522</t>
  </si>
  <si>
    <t>HJULET 25&gt;1</t>
  </si>
  <si>
    <t>Bostad;Småhus med flera lågenheter</t>
  </si>
  <si>
    <t>bf292a86-5854-4eff-ad24-01f46fdab55b</t>
  </si>
  <si>
    <t>14b970df-1731-4e8c-96e8-e84bc4582b7b</t>
  </si>
  <si>
    <t>HÄGERN 1&gt;1</t>
  </si>
  <si>
    <t>55ab026f-8be5-40ee-a2fe-8866f233d8df</t>
  </si>
  <si>
    <t>HÄGERN 2&gt;1</t>
  </si>
  <si>
    <t>10229c6b-f68b-4af2-966a-373b2907740a</t>
  </si>
  <si>
    <t>HÄGERN 3&gt;1</t>
  </si>
  <si>
    <t>f5983df5-ad48-49d1-a3d8-e201adc10968</t>
  </si>
  <si>
    <t>HÄGERN 4&gt;1</t>
  </si>
  <si>
    <t>0d9a44d4-6da3-48ba-8198-26df293d2d29</t>
  </si>
  <si>
    <t>HÄGERN 5&gt;1</t>
  </si>
  <si>
    <t>fc56e43e-9907-4ba9-a76f-d2b22eb8e65d</t>
  </si>
  <si>
    <t>HÄGERN 6&gt;1</t>
  </si>
  <si>
    <t>d09b60cb-6f94-44e8-8fcd-8d4caeee990e</t>
  </si>
  <si>
    <t>HÄGERN 7&gt;1</t>
  </si>
  <si>
    <t>7e362f8d-8b54-4ae1-a735-620694fbb6e1</t>
  </si>
  <si>
    <t>HÄGERN 8&gt;1</t>
  </si>
  <si>
    <t>9fab5c06-76a3-4a0f-b656-dd814bbe27d4</t>
  </si>
  <si>
    <t>HÄGERN 9&gt;1</t>
  </si>
  <si>
    <t>Bostad;Småhus kedjehus</t>
  </si>
  <si>
    <t>af337105-a6f2-42d6-9a52-6e7c8b818fba</t>
  </si>
  <si>
    <t>HÄGERN 10&gt;1</t>
  </si>
  <si>
    <t>1748f5bd-4d27-45a1-b383-c9851fc6309d</t>
  </si>
  <si>
    <t>HÄGERN 11&gt;1</t>
  </si>
  <si>
    <t>cb4a8ebb-efcc-4002-bf1a-f49542a4480c</t>
  </si>
  <si>
    <t>HÄGERN 12&gt;1</t>
  </si>
  <si>
    <t>68acb1aa-2d89-4f9a-ad7b-433404d9b0f8</t>
  </si>
  <si>
    <t>HÄGERN 13&gt;1</t>
  </si>
  <si>
    <t>0922eb1b-93f8-4230-bdeb-81a43e46ba8d</t>
  </si>
  <si>
    <t>HÄGERN 14&gt;1</t>
  </si>
  <si>
    <t>2d783c01-182c-4062-8601-933335a0c2f4</t>
  </si>
  <si>
    <t>HÄGERN 15&gt;1</t>
  </si>
  <si>
    <t>4ca3b782-5464-42ea-be6a-da73b6076e99</t>
  </si>
  <si>
    <t>HÄGERN 16&gt;1</t>
  </si>
  <si>
    <t>bff2015e-e1c6-4e2e-9a08-5606204ecea6</t>
  </si>
  <si>
    <t>HÄGERN 17&gt;1</t>
  </si>
  <si>
    <t>fbbe7cc7-e4a7-4013-a9f2-e8f68207f87d</t>
  </si>
  <si>
    <t>HÄSTEN 4&gt;1</t>
  </si>
  <si>
    <t>21455ebc-2c3e-4f7a-9001-323d355583a5</t>
  </si>
  <si>
    <t>9daa0ca6-0fe0-41fc-9dd6-c75e40a553e6</t>
  </si>
  <si>
    <t>695be45f-1d4d-4596-adfb-d038de4e831c</t>
  </si>
  <si>
    <t>e5935b0f-43b8-45ea-bed1-34ff054d4e42</t>
  </si>
  <si>
    <t>0cbd485c-0055-4952-91e0-efe7c8186987</t>
  </si>
  <si>
    <t>IGELKOTTEN 1&gt;1</t>
  </si>
  <si>
    <t>d703301d-314f-442d-8462-af6c79bd7919</t>
  </si>
  <si>
    <t>IGELKOTTEN 2&gt;1</t>
  </si>
  <si>
    <t>f4725256-8e3c-4726-811d-b54ee4d94524</t>
  </si>
  <si>
    <t>IGELKOTTEN 3&gt;1</t>
  </si>
  <si>
    <t>5d62b4b5-1981-45fe-8226-88c75b9d8166</t>
  </si>
  <si>
    <t>IGELKOTTEN 4&gt;1</t>
  </si>
  <si>
    <t>d70b45e5-a7c1-4b18-bbd5-6c45e92144cd</t>
  </si>
  <si>
    <t>JÄRVEN 2&gt;1</t>
  </si>
  <si>
    <t>85add8f8-ec52-4b8c-85f2-5e1cc307f45f</t>
  </si>
  <si>
    <t>JÄRVEN 3&gt;1</t>
  </si>
  <si>
    <t>63ed046f-8f79-4b00-88d7-d72722c69ca4</t>
  </si>
  <si>
    <t>JÄRVEN 4&gt;1</t>
  </si>
  <si>
    <t>8b1a93aa-6e2f-4c7f-a782-9fc44983d3cf</t>
  </si>
  <si>
    <t>JÄRVEN 5&gt;1</t>
  </si>
  <si>
    <t>f1a876a6-3359-4450-b22f-cc4084a4777f</t>
  </si>
  <si>
    <t>JÄRVEN 6&gt;1</t>
  </si>
  <si>
    <t>e86936ab-5f04-4212-bdc2-6bdf2f078aa0</t>
  </si>
  <si>
    <t>JÄRVEN 7&gt;1</t>
  </si>
  <si>
    <t>cf1b6415-b635-4850-817b-a10632af758c</t>
  </si>
  <si>
    <t>JÄRVEN 8&gt;1</t>
  </si>
  <si>
    <t>f3084d74-2d9b-42b5-af19-7386423f4a80</t>
  </si>
  <si>
    <t>JÄRVEN 9&gt;1</t>
  </si>
  <si>
    <t>7a36d6ae-33e4-491d-a424-b5f174385924</t>
  </si>
  <si>
    <t>JÄRVEN 10&gt;1</t>
  </si>
  <si>
    <t>089d931f-9651-4200-976d-25626aa41cf1</t>
  </si>
  <si>
    <t>JÄRVEN 11&gt;1</t>
  </si>
  <si>
    <t>b9172f21-5553-439a-8d23-ae06a5db0117</t>
  </si>
  <si>
    <t>JÄRVEN 12&gt;1</t>
  </si>
  <si>
    <t>00862b3d-7c8b-4a7d-9183-1e2ca2884602</t>
  </si>
  <si>
    <t>JÄRVEN 13&gt;1</t>
  </si>
  <si>
    <t>63569b78-dca0-4ba2-a928-efb1635cf432</t>
  </si>
  <si>
    <t>JÄRVEN 14&gt;1</t>
  </si>
  <si>
    <t>bbf138e0-1297-4778-8374-5e54d0b6cbd0</t>
  </si>
  <si>
    <t>JÄRVEN 15&gt;1</t>
  </si>
  <si>
    <t>e4533115-4b70-47ff-b55c-e1a57dd46f0b</t>
  </si>
  <si>
    <t>JÄRVEN 16&gt;1</t>
  </si>
  <si>
    <t>85eb5d44-c084-40c1-88ed-220200d4948d</t>
  </si>
  <si>
    <t>JÄRVEN 17&gt;1</t>
  </si>
  <si>
    <t>324f7c4a-55e7-4388-98c2-fc46cfc53e6d</t>
  </si>
  <si>
    <t>JÄRVEN 18&gt;1</t>
  </si>
  <si>
    <t>758a236c-126f-4920-afd4-d6dcf4d839fe</t>
  </si>
  <si>
    <t>JÄRVEN 19&gt;1</t>
  </si>
  <si>
    <t>8e815fca-b25f-4e69-911f-dbcfa1d0b9a7</t>
  </si>
  <si>
    <t>JÄRVEN 20&gt;1</t>
  </si>
  <si>
    <t>da0e6ca0-49bf-4434-a411-c65121a776ae</t>
  </si>
  <si>
    <t>JÄRVEN 21&gt;1</t>
  </si>
  <si>
    <t>6e42bd70-3454-4f62-9e89-e8a236a1625f</t>
  </si>
  <si>
    <t>JÄRVEN 22&gt;1</t>
  </si>
  <si>
    <t>b8e1b662-e8db-4c58-8542-e841e245f870</t>
  </si>
  <si>
    <t>JÄRVEN 23&gt;1</t>
  </si>
  <si>
    <t>23834277-9b30-44fe-8dd9-fb7b177fbc4c</t>
  </si>
  <si>
    <t>LUGNET 1&gt;1</t>
  </si>
  <si>
    <t>2450370b-8e7b-426a-950b-14428476803b</t>
  </si>
  <si>
    <t>LUGNET 11&gt;1</t>
  </si>
  <si>
    <t>db6152fd-f1da-43e0-a274-08c00835055a</t>
  </si>
  <si>
    <t>LUGNET 12&gt;1</t>
  </si>
  <si>
    <t>7879dae9-e416-482b-9da2-1e3151b2f713</t>
  </si>
  <si>
    <t>LÄRKAN 3&gt;1</t>
  </si>
  <si>
    <t>aa5e07d8-f9da-4eeb-94a8-c5b80e06d3b8</t>
  </si>
  <si>
    <t>LÄRKAN 11&gt;1</t>
  </si>
  <si>
    <t>13182025-b3ef-46d7-854c-0dd54ec8c716</t>
  </si>
  <si>
    <t>LÄRKAN 12&gt;1</t>
  </si>
  <si>
    <t>1afcafcf-cc03-495d-a6cf-411bed3563e8</t>
  </si>
  <si>
    <t>LÄRKAN 13&gt;1</t>
  </si>
  <si>
    <t>a122daed-2905-4ea0-bfd9-2179dc7d65ff</t>
  </si>
  <si>
    <t>LÄRKAN 14&gt;1</t>
  </si>
  <si>
    <t>eae9f03b-2621-4e44-afe5-b121e86de25d</t>
  </si>
  <si>
    <t>LÄRKAN 15&gt;1</t>
  </si>
  <si>
    <t>b1f8a16e-31a9-4602-85f0-21ec2b48f6f8</t>
  </si>
  <si>
    <t>LÄRKAN 16&gt;1</t>
  </si>
  <si>
    <t>15c61034-0b77-4699-b8be-405b30bbdfd1</t>
  </si>
  <si>
    <t>LÄRKAN 17&gt;1</t>
  </si>
  <si>
    <t>348a399d-1878-4616-8dc1-8354c6c847c9</t>
  </si>
  <si>
    <t>LÄRKAN 18&gt;1</t>
  </si>
  <si>
    <t>65da8b74-4666-43f0-8fa6-56c608d6c12e</t>
  </si>
  <si>
    <t>LÄRKAN 19&gt;1</t>
  </si>
  <si>
    <t>40cdb647-9095-4499-b555-6aba5bb6df8f</t>
  </si>
  <si>
    <t>LÄRKAN 20&gt;1</t>
  </si>
  <si>
    <t>a5761e81-e4df-4ab4-b33a-91c76e999133</t>
  </si>
  <si>
    <t>LÄRKAN 21&gt;1</t>
  </si>
  <si>
    <t>cea16837-6e87-4b6c-9a62-52f00e36c64b</t>
  </si>
  <si>
    <t>LÄRKAN 22&gt;1</t>
  </si>
  <si>
    <t>f32d4dac-71ca-47e2-84ef-f9a05c0c462b</t>
  </si>
  <si>
    <t>LÄRKAN 23&gt;1</t>
  </si>
  <si>
    <t>6caac1fa-417d-43c3-8170-df25c0a2f3f7</t>
  </si>
  <si>
    <t>LÄRKAN 26&gt;1</t>
  </si>
  <si>
    <t>b1e44b05-c47b-4271-8ff9-f16ae19074fb</t>
  </si>
  <si>
    <t>LÄRKAN 27&gt;1</t>
  </si>
  <si>
    <t>ab065928-1e09-47c7-8364-744bd29f292e</t>
  </si>
  <si>
    <t>LÄRKAN 28&gt;1</t>
  </si>
  <si>
    <t>eaefc667-40fa-4882-8b1b-7a11a1b5c592</t>
  </si>
  <si>
    <t>LÄRKAN 29&gt;1</t>
  </si>
  <si>
    <t>d70dcdd0-5f4b-4ef8-a76f-8cdd1a1451e4</t>
  </si>
  <si>
    <t>LÄRKAN 30&gt;1</t>
  </si>
  <si>
    <t>98532c94-e21e-415c-8cc7-e8167a52a56d</t>
  </si>
  <si>
    <t>LÄRKAN 31&gt;1</t>
  </si>
  <si>
    <t>3e6a1669-f45e-4b95-8457-a7588ed961ad</t>
  </si>
  <si>
    <t>LÄRKAN 32&gt;1</t>
  </si>
  <si>
    <t>39c35b63-bcd0-462c-a847-c9f17b03135e</t>
  </si>
  <si>
    <t>LÄRKAN 33&gt;1</t>
  </si>
  <si>
    <t>5a13a2e4-df74-431b-b37a-e8d79dd08d9f</t>
  </si>
  <si>
    <t>LÄRKAN 34&gt;1</t>
  </si>
  <si>
    <t>7cdd777f-76f2-4f3c-bceb-b4ab5b4c7ec0</t>
  </si>
  <si>
    <t>LÄRKAN 35&gt;1</t>
  </si>
  <si>
    <t>81fed7b1-84f5-4245-984f-711a56872efc</t>
  </si>
  <si>
    <t>LÄRKAN 36&gt;1</t>
  </si>
  <si>
    <t>28e84d26-570b-4b37-ab14-bf9ffbf72ded</t>
  </si>
  <si>
    <t>LÄRKAN 37&gt;1</t>
  </si>
  <si>
    <t>05080798-7db4-4c12-8f0b-e1adfc7f212e</t>
  </si>
  <si>
    <t>LÄRKAN 38&gt;1</t>
  </si>
  <si>
    <t>3b8979c9-1410-4d1c-a5a5-6d39c6666fbf</t>
  </si>
  <si>
    <t>LÄRKAN 39&gt;1</t>
  </si>
  <si>
    <t>2b81a5f4-26bc-446c-904e-bab5e00f1bba</t>
  </si>
  <si>
    <t>MINKEN 12&gt;1</t>
  </si>
  <si>
    <t>de49f1fe-619f-4e64-947e-cafdd15adfe6</t>
  </si>
  <si>
    <t>MULLVADEN 1&gt;1</t>
  </si>
  <si>
    <t>a62600f0-5606-48f4-953d-04da814cb18d</t>
  </si>
  <si>
    <t>MULLVADEN 2&gt;1</t>
  </si>
  <si>
    <t>7315c225-d67f-4d1d-a829-aa8c4e920033</t>
  </si>
  <si>
    <t>MULLVADEN 3&gt;1</t>
  </si>
  <si>
    <t>d2366611-aa70-4cb2-ac91-5349d8a26f05</t>
  </si>
  <si>
    <t>MULLVADEN 4&gt;1</t>
  </si>
  <si>
    <t>8201ef8e-f1b8-43ee-afb5-9f053ab1faf2</t>
  </si>
  <si>
    <t>MULLVADEN 5&gt;1</t>
  </si>
  <si>
    <t>c686a8ac-415a-45e9-90e9-806e88b7d0b6</t>
  </si>
  <si>
    <t>RÖNNEN 6&gt;1</t>
  </si>
  <si>
    <t>5fdaf073-0e7e-46a8-956b-e52be2731cbe</t>
  </si>
  <si>
    <t>RÖNNEN 8&gt;1</t>
  </si>
  <si>
    <t>ba71ad2e-0fcf-4d79-b7a4-b4733adc66e5</t>
  </si>
  <si>
    <t>RÖNNEN 9&gt;1</t>
  </si>
  <si>
    <t>24b9b153-bb26-4cc4-b51b-bf67551a8df2</t>
  </si>
  <si>
    <t>RÖNNEN 10&gt;1</t>
  </si>
  <si>
    <t>c7390126-8f64-4876-a038-baaf62dbb526</t>
  </si>
  <si>
    <t>RÖNNEN 11&gt;1</t>
  </si>
  <si>
    <t>1fcc3da9-cc1b-45a3-b51e-fe10cb22ddcc</t>
  </si>
  <si>
    <t>RÖNNEN 12&gt;1</t>
  </si>
  <si>
    <t>76020b7e-3e6d-4360-b9a5-2672e7cd14ad</t>
  </si>
  <si>
    <t>RÖNNEN 13&gt;1</t>
  </si>
  <si>
    <t>905564d2-0029-4154-8ad8-53c93e525314</t>
  </si>
  <si>
    <t>RÖNNEN 14&gt;1</t>
  </si>
  <si>
    <t>26e53202-f106-4d65-8d84-1a7fa43562ba</t>
  </si>
  <si>
    <t>RÖNNEN 15&gt;1</t>
  </si>
  <si>
    <t>e3e89917-dfd5-428e-b391-40dcaa0f48ef</t>
  </si>
  <si>
    <t>RÖNNEN 16&gt;1</t>
  </si>
  <si>
    <t>7914f6c6-7644-46e3-a249-1cc08bfdfc04</t>
  </si>
  <si>
    <t>RÖNNEN 17&gt;1</t>
  </si>
  <si>
    <t>ddd0c88f-08af-489e-80fe-99956c011210</t>
  </si>
  <si>
    <t>RÖNNEN 18&gt;1</t>
  </si>
  <si>
    <t>a05d90e1-e5a0-4bbb-a20f-89b04d363965</t>
  </si>
  <si>
    <t>RÖNNEN 19&gt;1</t>
  </si>
  <si>
    <t>0ad01f56-6ee0-4e23-99ee-6202ee414c40</t>
  </si>
  <si>
    <t>RÖNNEN 20&gt;1</t>
  </si>
  <si>
    <t>ed56c9c7-da68-4ff5-810e-4bf232034c60</t>
  </si>
  <si>
    <t>RÖNNEN 21&gt;1</t>
  </si>
  <si>
    <t>0de77698-4523-4e05-a23c-2191f1609eb9</t>
  </si>
  <si>
    <t>SPOVEN 1&gt;1</t>
  </si>
  <si>
    <t>b2eba553-aa5f-4b22-84f2-f9a510b7817d</t>
  </si>
  <si>
    <t>SPOVEN 2&gt;1</t>
  </si>
  <si>
    <t>4a6c3739-2bd9-4e28-9774-6ef67033879e</t>
  </si>
  <si>
    <t>SPOVEN 3&gt;1</t>
  </si>
  <si>
    <t>b275b3c5-393b-4ac7-b2c4-aef097abc659</t>
  </si>
  <si>
    <t>SPOVEN 4&gt;1</t>
  </si>
  <si>
    <t>884203df-f27c-4339-a7a4-2da2b174846a</t>
  </si>
  <si>
    <t>SPOVEN 5&gt;1</t>
  </si>
  <si>
    <t>26ef3338-67f4-4603-8e70-a565672ee701</t>
  </si>
  <si>
    <t>SPOVEN 6&gt;1</t>
  </si>
  <si>
    <t>9deb2529-6682-4ff2-a685-432f25877ce1</t>
  </si>
  <si>
    <t>SPOVEN 7&gt;1</t>
  </si>
  <si>
    <t>b4d97dea-71bb-4f52-b740-d18faafc5206</t>
  </si>
  <si>
    <t>SPOVEN 8&gt;1</t>
  </si>
  <si>
    <t>7c91f9d5-ebc1-4f4a-a668-fd2301bd0202</t>
  </si>
  <si>
    <t>SPOVEN 9&gt;1</t>
  </si>
  <si>
    <t>11b665cb-6f6f-47d5-873a-0e1a6eeeedab</t>
  </si>
  <si>
    <t>SPOVEN 10&gt;1</t>
  </si>
  <si>
    <t>178705a4-ecd8-4bc8-bb64-3b1b3873322f</t>
  </si>
  <si>
    <t>SPOVEN 11&gt;1</t>
  </si>
  <si>
    <t>21164084-6b3c-4785-84db-24d109cc0337</t>
  </si>
  <si>
    <t>SPOVEN 12&gt;1</t>
  </si>
  <si>
    <t>7b3c7731-bd08-4699-97d7-9d5ae9e558cd</t>
  </si>
  <si>
    <t>SPOVEN 13&gt;1</t>
  </si>
  <si>
    <t>67fc6b23-a1e4-4a9c-80d2-31827969264f</t>
  </si>
  <si>
    <t>SPOVEN 14&gt;1</t>
  </si>
  <si>
    <t>bb77e5ff-4f31-49df-a7b4-684f980bc0b8</t>
  </si>
  <si>
    <t>STORKEN 1&gt;1</t>
  </si>
  <si>
    <t>501c276f-11c4-4ad2-bad7-947d50a6f17d</t>
  </si>
  <si>
    <t>STORKEN 2&gt;1</t>
  </si>
  <si>
    <t>df44fbfe-1c26-46aa-8046-09a05e92cc1a</t>
  </si>
  <si>
    <t>STORKEN 3&gt;1</t>
  </si>
  <si>
    <t>49858f6b-a4eb-4cb1-830c-88c02c210af7</t>
  </si>
  <si>
    <t>STORKEN 4&gt;1</t>
  </si>
  <si>
    <t>08ae2d79-a771-4142-a142-9e4cd7cf629b</t>
  </si>
  <si>
    <t>STORKEN 5&gt;1</t>
  </si>
  <si>
    <t>677d42ae-ebfe-45a1-ac3e-cd7e2a1cbb52</t>
  </si>
  <si>
    <t>STORKEN 6&gt;1</t>
  </si>
  <si>
    <t>39cd63b1-49e0-40f0-baef-52164f58170f</t>
  </si>
  <si>
    <t>STORKEN 7&gt;1</t>
  </si>
  <si>
    <t>20cdb2e6-08ca-4203-8586-592ce4863ce1</t>
  </si>
  <si>
    <t>STORKEN 8&gt;1</t>
  </si>
  <si>
    <t>1291daf6-3d33-45c2-9086-b985fe81d155</t>
  </si>
  <si>
    <t>STORKEN 9&gt;1</t>
  </si>
  <si>
    <t>a04c9f69-23f9-4446-bd61-2827fbc41f99</t>
  </si>
  <si>
    <t>STORKEN 10&gt;1</t>
  </si>
  <si>
    <t>5421967e-d010-4d92-bc2c-20ddc57a152a</t>
  </si>
  <si>
    <t>STORKEN 11&gt;1</t>
  </si>
  <si>
    <t>333e2516-b321-4570-bdbd-606739867dfe</t>
  </si>
  <si>
    <t>STORKEN 12&gt;1</t>
  </si>
  <si>
    <t>2f9d51cb-6c2d-4c67-b2ac-9a089f328e3e</t>
  </si>
  <si>
    <t>STORKEN 13&gt;1</t>
  </si>
  <si>
    <t>830978aa-2f7b-474b-a4cc-3bb199be4391</t>
  </si>
  <si>
    <t>STORKEN 14&gt;1</t>
  </si>
  <si>
    <t>e469db19-9f34-4c88-8090-39a9e9f9dc4e</t>
  </si>
  <si>
    <t>STORKEN 15&gt;1</t>
  </si>
  <si>
    <t>1a7f96da-1a1b-4277-84dc-423f570f159c</t>
  </si>
  <si>
    <t>STORKEN 16&gt;1</t>
  </si>
  <si>
    <t>9a8e65bb-5f17-4ead-9422-adebb86b7775</t>
  </si>
  <si>
    <t>STORKEN 17&gt;1</t>
  </si>
  <si>
    <t>1bd83868-8137-4fac-aa1c-5541c1dd6e3a</t>
  </si>
  <si>
    <t>STORKEN 18&gt;1</t>
  </si>
  <si>
    <t>93c60d19-254e-4cec-b978-ecd053201992</t>
  </si>
  <si>
    <t>STÄDET 1&gt;1</t>
  </si>
  <si>
    <t>c4eacbe2-4597-4ced-89ff-1165a6e30baa</t>
  </si>
  <si>
    <t>STÄDET 4&gt;1</t>
  </si>
  <si>
    <t>44459a46-d41d-4e2c-983f-f0c1a8e0ca34</t>
  </si>
  <si>
    <t>STÄDET 11&gt;1</t>
  </si>
  <si>
    <t>099ee0e1-b509-45d4-ac30-1bebb192cb6f</t>
  </si>
  <si>
    <t>STÄDET 17&gt;1</t>
  </si>
  <si>
    <t>62e13dd7-1a6d-4018-b570-b126e4cbd1e9</t>
  </si>
  <si>
    <t>STÄDET 19&gt;1</t>
  </si>
  <si>
    <t>3d696f5a-759c-4580-bc1c-0266455736a3</t>
  </si>
  <si>
    <t>SÅLLET 1&gt;1</t>
  </si>
  <si>
    <t>924a0d87-4b9f-410b-9957-ce4bee6aac01</t>
  </si>
  <si>
    <t>SÅLLET 2&gt;1</t>
  </si>
  <si>
    <t>9cbefe22-4670-42d3-afba-cafa69d0ff0f</t>
  </si>
  <si>
    <t>SÅLLET 3&gt;1</t>
  </si>
  <si>
    <t>613cc062-7eeb-4092-ae08-3e692641b8cd</t>
  </si>
  <si>
    <t>SÅLLET 4&gt;1</t>
  </si>
  <si>
    <t>51db85c2-8717-4233-bfc0-2bdd64ffe4a3</t>
  </si>
  <si>
    <t>SÅLLET 5&gt;1</t>
  </si>
  <si>
    <t>553e65f9-6659-47b3-bd7f-8cab9fd700a1</t>
  </si>
  <si>
    <t>SÅLLET 6&gt;1</t>
  </si>
  <si>
    <t>00a9dc2d-659b-45d6-a19e-ec19f9b65628</t>
  </si>
  <si>
    <t>SÅLLET 7&gt;1</t>
  </si>
  <si>
    <t>384c77cc-3cfb-41af-8c1a-dcfa820242f2</t>
  </si>
  <si>
    <t>SÅLLET 8&gt;1</t>
  </si>
  <si>
    <t>18397b58-e315-4d65-8da3-275f0d0a7a2d</t>
  </si>
  <si>
    <t>SÅLLET 9&gt;1</t>
  </si>
  <si>
    <t>76535cfc-975e-4de6-bd9f-198aead0ae95</t>
  </si>
  <si>
    <t>SÅLLET 10&gt;1</t>
  </si>
  <si>
    <t>300db0b3-68d7-42fb-9ba6-e204a07fa364</t>
  </si>
  <si>
    <t>TRANAN 1&gt;1</t>
  </si>
  <si>
    <t>c0ed3c8a-8e65-407b-b1d4-8abe6d4dd671</t>
  </si>
  <si>
    <t>TRANAN 2&gt;1</t>
  </si>
  <si>
    <t>709dd92b-712c-4721-8630-955191d71670</t>
  </si>
  <si>
    <t>TRANAN 3&gt;1</t>
  </si>
  <si>
    <t>bbc98250-97fc-400c-97aa-1780937920dd</t>
  </si>
  <si>
    <t>TRANAN 4&gt;1</t>
  </si>
  <si>
    <t>3efc3b6e-f84a-465a-bda9-8a718756fd64</t>
  </si>
  <si>
    <t>TRANAN 5&gt;1</t>
  </si>
  <si>
    <t>db6b3b94-6a5d-4422-b071-58d2d2aa0cd2</t>
  </si>
  <si>
    <t>TRANAN 6&gt;1</t>
  </si>
  <si>
    <t>c1dd5edc-6050-4efb-a3f7-9830fad12538</t>
  </si>
  <si>
    <t>TRANAN 7&gt;1</t>
  </si>
  <si>
    <t>7a631a7a-6318-424d-abef-28098d96b986</t>
  </si>
  <si>
    <t>TRANAN 8&gt;1</t>
  </si>
  <si>
    <t>3b8bc6c6-d9bc-4ec6-a070-63d32d25b655</t>
  </si>
  <si>
    <t>TRANAN 9&gt;1</t>
  </si>
  <si>
    <t>19a40b04-601c-4c33-a6c7-93e203dd6425</t>
  </si>
  <si>
    <t>TRANAN 10&gt;1</t>
  </si>
  <si>
    <t>edfc8062-c68c-4ee1-af07-0dcb3096c2b7</t>
  </si>
  <si>
    <t>TRANAN 11&gt;1</t>
  </si>
  <si>
    <t>4c409ec6-8d66-4f1d-84fa-374b34cea112</t>
  </si>
  <si>
    <t>TRANAN 12&gt;1</t>
  </si>
  <si>
    <t>d8716ef0-d41a-421d-8d32-f1263a620fba</t>
  </si>
  <si>
    <t>TRANAN 13&gt;1</t>
  </si>
  <si>
    <t>b1af0e53-18f9-432b-a769-c20a41885ba3</t>
  </si>
  <si>
    <t>TRÖSKAN 1&gt;1</t>
  </si>
  <si>
    <t>6cd83862-c511-463a-8289-ce8c08e17f68</t>
  </si>
  <si>
    <t>TRÖSKAN 2&gt;1</t>
  </si>
  <si>
    <t>71be3813-4f36-491f-967c-a6d2d74dbd9e</t>
  </si>
  <si>
    <t>TRÖSKAN 3&gt;1</t>
  </si>
  <si>
    <t>bca62339-8027-4f2f-9b96-3f75a4f9caa8</t>
  </si>
  <si>
    <t>TRÖSKAN 4&gt;1</t>
  </si>
  <si>
    <t>c0aaf2d5-c11e-468b-8402-403f421c0a09</t>
  </si>
  <si>
    <t>TRÖSKAN 5&gt;1</t>
  </si>
  <si>
    <t>61d5b86b-25d0-4998-8956-8e7deb29510e</t>
  </si>
  <si>
    <t>TRÖSKAN 6&gt;1</t>
  </si>
  <si>
    <t>f345bfb9-bffa-4863-a8d7-f74adb0c9eb5</t>
  </si>
  <si>
    <t>TRÖSKAN 7&gt;1</t>
  </si>
  <si>
    <t>8fc2f67a-b0c3-4a00-b835-2f4913616f67</t>
  </si>
  <si>
    <t>TRÖSKAN 8&gt;1</t>
  </si>
  <si>
    <t>e14f0263-dad5-4db9-8b31-bb108c2544e2</t>
  </si>
  <si>
    <t>TRÖSKAN 9&gt;1</t>
  </si>
  <si>
    <t>3af6992f-877d-4512-93ab-419f4ed4d613</t>
  </si>
  <si>
    <t>TRÖSKAN 10&gt;1</t>
  </si>
  <si>
    <t>ad66c440-292b-4051-ba29-6e25b6d2ad8c</t>
  </si>
  <si>
    <t>TRÖSKAN 11&gt;1</t>
  </si>
  <si>
    <t>42888aa3-a353-462e-94d3-af2b1fe7a99a</t>
  </si>
  <si>
    <t>TRÖSKAN 12&gt;1</t>
  </si>
  <si>
    <t>ca8189a3-fb4e-4456-8cd1-8283ca1dbdee</t>
  </si>
  <si>
    <t>TRÖSKAN 13&gt;1</t>
  </si>
  <si>
    <t>f61122ce-b787-4550-830f-5b070c5077f6</t>
  </si>
  <si>
    <t>TRÖSKAN 14&gt;1</t>
  </si>
  <si>
    <t>5f2ef5ec-d835-4008-b900-4e54aa83508a</t>
  </si>
  <si>
    <t>TRÖSKAN 15&gt;1</t>
  </si>
  <si>
    <t>b862949a-5d89-46b2-b54b-6131348f02f0</t>
  </si>
  <si>
    <t>TRÖSKAN 16&gt;1</t>
  </si>
  <si>
    <t>9ca67930-af16-4719-b558-b25d4568b48c</t>
  </si>
  <si>
    <t>TRÖSKAN 17&gt;1</t>
  </si>
  <si>
    <t>01e11445-8e70-4beb-9766-f9b5356499db</t>
  </si>
  <si>
    <t>TRÖSKAN 18&gt;1</t>
  </si>
  <si>
    <t>945464d7-ab1f-49a7-a875-17761a44300f</t>
  </si>
  <si>
    <t>TRÖSKAN 19&gt;1</t>
  </si>
  <si>
    <t>48638918-798e-441f-8619-6007c164af9e</t>
  </si>
  <si>
    <t>TRÖSKAN 20&gt;1</t>
  </si>
  <si>
    <t>6f56b2bb-9c9d-498a-a0c2-279c15795176</t>
  </si>
  <si>
    <t>TRÖSKAN 21&gt;1</t>
  </si>
  <si>
    <t>fecf9151-0d7d-4387-a439-5cf56f18a4c8</t>
  </si>
  <si>
    <t>TRÖSKAN 22&gt;1</t>
  </si>
  <si>
    <t>3f21bb4a-254b-4a76-89d1-891fbb42469c</t>
  </si>
  <si>
    <t>TRÖSKAN 23&gt;1</t>
  </si>
  <si>
    <t>7158b7b3-d6bb-48f3-8a45-9775356f24b5</t>
  </si>
  <si>
    <t>TRÖSKAN 24&gt;1</t>
  </si>
  <si>
    <t>23e8a61d-71c4-4568-bbb3-51ee95dee37d</t>
  </si>
  <si>
    <t>TRÖSKAN 25&gt;1</t>
  </si>
  <si>
    <t>38a4f79f-c484-4f5f-afeb-294418bfe0db</t>
  </si>
  <si>
    <t>TRÖSKAN 26&gt;1</t>
  </si>
  <si>
    <t>dfa0c6ef-307a-40c0-9127-8e9314c13e53</t>
  </si>
  <si>
    <t>UTTERN 7&gt;1</t>
  </si>
  <si>
    <t>a14b27c1-ceb7-4c7d-ab62-cf52d6a8f108</t>
  </si>
  <si>
    <t>UTTERN 8&gt;1</t>
  </si>
  <si>
    <t>18fecfcd-6bf6-41ec-8554-ff7b79bdf476</t>
  </si>
  <si>
    <t>UTTERN 9&gt;1</t>
  </si>
  <si>
    <t>b4ae34e9-9c04-4999-823f-5afe93099c41</t>
  </si>
  <si>
    <t>UTTERN 10&gt;1</t>
  </si>
  <si>
    <t>41dfb08f-0c50-4c95-b1c0-b38b2249aee4</t>
  </si>
  <si>
    <t>UTTERN 11&gt;1</t>
  </si>
  <si>
    <t>5c74f847-a0c4-438a-91d4-0d2b418a1ed0</t>
  </si>
  <si>
    <t>UTTERN 12&gt;1</t>
  </si>
  <si>
    <t>4e54e8bf-5e52-41ee-b245-0cbcb7d18f77</t>
  </si>
  <si>
    <t>UTTERN 13&gt;1</t>
  </si>
  <si>
    <t>efee05a2-095a-40e2-a230-e7c8048038f9</t>
  </si>
  <si>
    <t>UTTERN 14&gt;1</t>
  </si>
  <si>
    <t>48d6fde9-877e-47cc-a7b6-d6790349078c</t>
  </si>
  <si>
    <t>UTTERN 15&gt;1</t>
  </si>
  <si>
    <t>a3e5b06d-4ec4-4f34-b85f-446b45349697</t>
  </si>
  <si>
    <t>UTTERN 16&gt;1</t>
  </si>
  <si>
    <t>fd9558ba-16b1-4378-8036-cac57ce7a0f2</t>
  </si>
  <si>
    <t>UTTERN 17&gt;1</t>
  </si>
  <si>
    <t>88390ea8-9c09-4093-bc89-45b7b44323a1</t>
  </si>
  <si>
    <t>UTTERN 18&gt;1</t>
  </si>
  <si>
    <t>877b0f7b-33a5-4a02-a896-4c3b63748763</t>
  </si>
  <si>
    <t>UTTERN 19&gt;1</t>
  </si>
  <si>
    <t>890e29e5-678e-4959-8056-d798e118407f</t>
  </si>
  <si>
    <t>UTTERN 20&gt;1</t>
  </si>
  <si>
    <t>d15d94a3-218a-4d8c-9edf-a5f665a1ad39</t>
  </si>
  <si>
    <t>UTTERN 21&gt;1</t>
  </si>
  <si>
    <t>082fbe0c-62df-4050-8c57-5f5faaf1cce4</t>
  </si>
  <si>
    <t>VIPAN 1&gt;1</t>
  </si>
  <si>
    <t>25c639db-b43b-45de-91be-5925c041953b</t>
  </si>
  <si>
    <t>VIPAN 2&gt;1</t>
  </si>
  <si>
    <t>b4f75f20-9e42-40c9-b61e-8274ba042271</t>
  </si>
  <si>
    <t>VIPAN 3&gt;1</t>
  </si>
  <si>
    <t>26bf147e-d73c-4508-8c57-46ffbde18a9e</t>
  </si>
  <si>
    <t>VIPAN 4&gt;1</t>
  </si>
  <si>
    <t>c0782ed8-18ea-43f1-a6e7-3427358eb190</t>
  </si>
  <si>
    <t>VIPAN 5&gt;1</t>
  </si>
  <si>
    <t>5cac3227-7f2e-4b27-8f5a-5f4360ecdf69</t>
  </si>
  <si>
    <t>VIPAN 6&gt;1</t>
  </si>
  <si>
    <t>dee747b4-c4fc-4cc5-92e5-c2f293453627</t>
  </si>
  <si>
    <t>ÅMÅLS-HANNEBOL 1:4&gt;1</t>
  </si>
  <si>
    <t>a180a768-0fbf-4966-a5a3-8a7188f07d2d</t>
  </si>
  <si>
    <t>ÅMÅLS-NYGÅRD 1:5&gt;1</t>
  </si>
  <si>
    <t>e124ff2e-d279-49b1-91d2-dbcc3b4440b3</t>
  </si>
  <si>
    <t>ÅMÅLS-NYGÅRD 1:12&gt;1</t>
  </si>
  <si>
    <t>b696a31f-553b-4e0e-9b69-f59f21e2bfd4</t>
  </si>
  <si>
    <t>ÅMÅLS-ÅSEN 1:6&gt;1</t>
  </si>
  <si>
    <t>9b05bd55-b79d-4236-8506-54414259f338</t>
  </si>
  <si>
    <t>cea8787b-4d65-4770-b50f-2e019d7c5920</t>
  </si>
  <si>
    <t>ÅMÅLS-ÅSEN 1:8&gt;1</t>
  </si>
  <si>
    <t>d03d0039-f1c3-442d-a223-7ea262f8a538</t>
  </si>
  <si>
    <t>ÅMÅLS-ÅSEN 1:11&gt;1</t>
  </si>
  <si>
    <t>5dbed754-4927-4470-a854-81647a3decbf</t>
  </si>
  <si>
    <t>ÅMÅLS-ÅSEN 1:12&gt;1</t>
  </si>
  <si>
    <t>9762688b-6567-488f-92b0-e72b8e2257ba</t>
  </si>
  <si>
    <t>ÅMÅLS-ÅSEN 1:13&gt;1</t>
  </si>
  <si>
    <t>f35cd111-3979-47be-9029-602e2940a098</t>
  </si>
  <si>
    <t>ÅMÅLS-ÅSEN 1:14&gt;1</t>
  </si>
  <si>
    <t>8511b363-f01e-487e-a7cc-245bdbab77d3</t>
  </si>
  <si>
    <t>ÅRDRET 18&gt;1</t>
  </si>
  <si>
    <t>9b27ad51-f5bc-413c-8429-4410d6f9201a</t>
  </si>
  <si>
    <t>ÅRDRET 19&gt;1</t>
  </si>
  <si>
    <t>6446d9df-1dd6-4cbb-84b5-2ca1ab0f03e5</t>
  </si>
  <si>
    <t>(06-22)</t>
  </si>
  <si>
    <t>Vägtrafik</t>
  </si>
  <si>
    <t>Parkering</t>
  </si>
  <si>
    <t>2025 Nuläge | Vägtrafik | LAeq | (00–24)</t>
  </si>
  <si>
    <t>2025 Nuläge | Vägtrafik | LAFmax | (06–22)</t>
  </si>
  <si>
    <t>2025 Nuläge | Vägtrafik | LAFmax | (22–06)</t>
  </si>
  <si>
    <t>2040 Nollalternativ | Vägtrafik | LAeq | (00–24)</t>
  </si>
  <si>
    <t>2040 Nollalternativ | Vägtrafik | LAFmax | (06–22)</t>
  </si>
  <si>
    <t>2040 Nollalternativ | Vägtrafik | LAFmax | (22–06)</t>
  </si>
  <si>
    <t>2040 Exploatering | Vägtrafik | LAeq | (00–24)</t>
  </si>
  <si>
    <t>2040 Exploatering | Vägtrafik | LAFmax | (06–22)</t>
  </si>
  <si>
    <t>2040 Exploatering | Vägtrafik | LAFmax | (22–06)</t>
  </si>
  <si>
    <t>2040 Exploatering | Parkering | LAFmax | (22–06)</t>
  </si>
  <si>
    <t>Beräknad maximalnivå [dB] dagtid (06–22) i aktuell beräkningspunkt vid situation "2040 Exploatering". Från parkeringsplats.</t>
  </si>
  <si>
    <t>Tabellbeskrivning</t>
  </si>
  <si>
    <t>Skillnad (2040 Expl. - 2040 Nollalt.) i beräknad ekvivalentnivå [dB] dygn (00–24) i aktuell beräkningspunkt.</t>
  </si>
  <si>
    <t>Skillnad (2040 Expl. - 2040 Nollalt.) i beräknad maximalnivå [dB] dagtid (06–22) i aktuell beräkningspunk.</t>
  </si>
  <si>
    <t>Skillnad (2040 Expl. - 2040 Nollalt.) i beräknad maximalnivå [dB] nattetid (22–06)) i aktuell beräkningspunkt.</t>
  </si>
  <si>
    <t>Per-Ola Eriksson | Akustikforum AB | 220919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</si>
</sst>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onsolas"/>
      <family val="3"/>
    </font>
    <font>
      <sz val="8"/>
      <color theme="1"/>
      <name val="Consolas"/>
      <family val="3"/>
    </font>
    <font>
      <u/>
      <sz val="8"/>
      <color rgb="FF0070C0"/>
      <name val="Consolas"/>
      <family val="3"/>
    </font>
    <font>
      <b/>
      <u/>
      <sz val="8"/>
      <color theme="1"/>
      <name val="Consolas"/>
      <family val="3"/>
    </font>
    <font>
      <b/>
      <sz val="22"/>
      <color theme="1"/>
      <name val="Consolas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6">
    <xf numFmtId="0" fontId="0" fillId="0" borderId="0" xfId="0"/>
    <xf numFmtId="0" fontId="18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vertical="center"/>
    </xf>
    <xf numFmtId="0" fontId="19" fillId="33" borderId="12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33" borderId="10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1" fontId="19" fillId="0" borderId="13" xfId="0" applyNumberFormat="1" applyFont="1" applyBorder="1" applyAlignment="1">
      <alignment horizontal="center" vertical="center"/>
    </xf>
    <xf numFmtId="0" fontId="19" fillId="33" borderId="14" xfId="0" applyFont="1" applyFill="1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33" borderId="16" xfId="0" applyFont="1" applyFill="1" applyBorder="1" applyAlignment="1">
      <alignment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left" vertical="center"/>
    </xf>
    <xf numFmtId="1" fontId="19" fillId="0" borderId="16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22" fillId="33" borderId="12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34"/>
  <sheetViews>
    <sheetView topLeftCell="A31" workbookViewId="0"/>
  </sheetViews>
  <sheetFormatPr defaultRowHeight="15" customHeight="1" x14ac:dyDescent="0.25"/>
  <cols>
    <col min="1" max="1" width="9.140625" style="3"/>
    <col min="2" max="2" width="55.7109375" style="3" bestFit="1" customWidth="1"/>
    <col min="3" max="3" width="116.7109375" style="3" customWidth="1"/>
    <col min="4" max="16384" width="9.140625" style="3"/>
  </cols>
  <sheetData>
    <row r="2" spans="2:3" ht="11.25" x14ac:dyDescent="0.25">
      <c r="B2" s="2"/>
    </row>
    <row r="3" spans="2:3" ht="27.75" x14ac:dyDescent="0.25">
      <c r="B3" s="26" t="s">
        <v>685</v>
      </c>
      <c r="C3" s="4"/>
    </row>
    <row r="4" spans="2:3" ht="15" customHeight="1" x14ac:dyDescent="0.25">
      <c r="B4" s="1" t="s">
        <v>0</v>
      </c>
      <c r="C4" s="2" t="s">
        <v>22</v>
      </c>
    </row>
    <row r="5" spans="2:3" ht="15" customHeight="1" x14ac:dyDescent="0.25">
      <c r="B5" s="1" t="s">
        <v>1</v>
      </c>
      <c r="C5" s="2" t="s">
        <v>18</v>
      </c>
    </row>
    <row r="6" spans="2:3" ht="15" customHeight="1" x14ac:dyDescent="0.25">
      <c r="B6" s="1" t="s">
        <v>19</v>
      </c>
      <c r="C6" s="3" t="s">
        <v>20</v>
      </c>
    </row>
    <row r="7" spans="2:3" ht="15" customHeight="1" x14ac:dyDescent="0.25">
      <c r="B7" s="1" t="s">
        <v>47</v>
      </c>
      <c r="C7" s="3" t="s">
        <v>48</v>
      </c>
    </row>
    <row r="8" spans="2:3" ht="15" customHeight="1" x14ac:dyDescent="0.25">
      <c r="B8" s="1" t="s">
        <v>2</v>
      </c>
      <c r="C8" s="3" t="s">
        <v>25</v>
      </c>
    </row>
    <row r="9" spans="2:3" ht="15" customHeight="1" x14ac:dyDescent="0.25">
      <c r="B9" s="1" t="s">
        <v>3</v>
      </c>
      <c r="C9" s="3" t="s">
        <v>26</v>
      </c>
    </row>
    <row r="10" spans="2:3" ht="15" customHeight="1" x14ac:dyDescent="0.25">
      <c r="B10" s="1" t="s">
        <v>23</v>
      </c>
      <c r="C10" s="3" t="s">
        <v>24</v>
      </c>
    </row>
    <row r="11" spans="2:3" ht="15" customHeight="1" x14ac:dyDescent="0.25">
      <c r="B11" s="1" t="s">
        <v>4</v>
      </c>
      <c r="C11" s="2" t="s">
        <v>21</v>
      </c>
    </row>
    <row r="12" spans="2:3" ht="15" customHeight="1" x14ac:dyDescent="0.25">
      <c r="B12" s="1" t="s">
        <v>674</v>
      </c>
      <c r="C12" s="2" t="s">
        <v>38</v>
      </c>
    </row>
    <row r="13" spans="2:3" ht="15" customHeight="1" x14ac:dyDescent="0.25">
      <c r="B13" s="1" t="s">
        <v>675</v>
      </c>
      <c r="C13" s="2" t="s">
        <v>39</v>
      </c>
    </row>
    <row r="14" spans="2:3" ht="15" customHeight="1" x14ac:dyDescent="0.25">
      <c r="B14" s="1" t="s">
        <v>676</v>
      </c>
      <c r="C14" s="2" t="s">
        <v>40</v>
      </c>
    </row>
    <row r="15" spans="2:3" ht="15" customHeight="1" x14ac:dyDescent="0.25">
      <c r="B15" s="1" t="s">
        <v>677</v>
      </c>
      <c r="C15" s="2" t="s">
        <v>41</v>
      </c>
    </row>
    <row r="16" spans="2:3" ht="15" customHeight="1" x14ac:dyDescent="0.25">
      <c r="B16" s="1" t="s">
        <v>678</v>
      </c>
      <c r="C16" s="2" t="s">
        <v>42</v>
      </c>
    </row>
    <row r="17" spans="2:3" ht="15" customHeight="1" x14ac:dyDescent="0.25">
      <c r="B17" s="1" t="s">
        <v>679</v>
      </c>
      <c r="C17" s="2" t="s">
        <v>43</v>
      </c>
    </row>
    <row r="18" spans="2:3" ht="15" customHeight="1" x14ac:dyDescent="0.25">
      <c r="B18" s="1" t="s">
        <v>680</v>
      </c>
      <c r="C18" s="2" t="s">
        <v>44</v>
      </c>
    </row>
    <row r="19" spans="2:3" ht="15" customHeight="1" x14ac:dyDescent="0.25">
      <c r="B19" s="1" t="s">
        <v>681</v>
      </c>
      <c r="C19" s="2" t="s">
        <v>45</v>
      </c>
    </row>
    <row r="20" spans="2:3" ht="15" customHeight="1" x14ac:dyDescent="0.25">
      <c r="B20" s="1" t="s">
        <v>682</v>
      </c>
      <c r="C20" s="2" t="s">
        <v>46</v>
      </c>
    </row>
    <row r="21" spans="2:3" ht="15" customHeight="1" x14ac:dyDescent="0.25">
      <c r="B21" s="1" t="s">
        <v>683</v>
      </c>
      <c r="C21" s="2" t="s">
        <v>684</v>
      </c>
    </row>
    <row r="22" spans="2:3" ht="15" customHeight="1" x14ac:dyDescent="0.25">
      <c r="B22" s="1" t="s">
        <v>35</v>
      </c>
      <c r="C22" s="2" t="s">
        <v>686</v>
      </c>
    </row>
    <row r="23" spans="2:3" ht="15" customHeight="1" x14ac:dyDescent="0.25">
      <c r="B23" s="1" t="s">
        <v>36</v>
      </c>
      <c r="C23" s="2" t="s">
        <v>687</v>
      </c>
    </row>
    <row r="24" spans="2:3" ht="15" customHeight="1" x14ac:dyDescent="0.25">
      <c r="B24" s="1" t="s">
        <v>37</v>
      </c>
      <c r="C24" s="2" t="s">
        <v>688</v>
      </c>
    </row>
    <row r="25" spans="2:3" ht="15" customHeight="1" x14ac:dyDescent="0.25">
      <c r="B25" s="15"/>
      <c r="C25" s="15"/>
    </row>
    <row r="26" spans="2:3" ht="15" customHeight="1" x14ac:dyDescent="0.25">
      <c r="B26" s="25" t="s">
        <v>689</v>
      </c>
      <c r="C26" s="2"/>
    </row>
    <row r="27" spans="2:3" ht="15" customHeight="1" x14ac:dyDescent="0.25">
      <c r="B27" s="1"/>
      <c r="C27" s="2"/>
    </row>
    <row r="28" spans="2:3" ht="15" customHeight="1" x14ac:dyDescent="0.25">
      <c r="B28" s="1"/>
      <c r="C28" s="2"/>
    </row>
    <row r="29" spans="2:3" ht="15" customHeight="1" x14ac:dyDescent="0.25">
      <c r="B29" s="1"/>
      <c r="C29" s="2"/>
    </row>
    <row r="30" spans="2:3" ht="15" customHeight="1" x14ac:dyDescent="0.25">
      <c r="B30" s="1"/>
      <c r="C30" s="2"/>
    </row>
    <row r="31" spans="2:3" ht="15" customHeight="1" x14ac:dyDescent="0.25">
      <c r="B31" s="1"/>
      <c r="C31" s="2"/>
    </row>
    <row r="32" spans="2:3" ht="15" customHeight="1" x14ac:dyDescent="0.25">
      <c r="B32" s="1"/>
      <c r="C32" s="2"/>
    </row>
    <row r="33" spans="2:3" ht="15" customHeight="1" x14ac:dyDescent="0.25">
      <c r="B33" s="1"/>
      <c r="C33" s="2"/>
    </row>
    <row r="34" spans="2:3" ht="15" customHeight="1" x14ac:dyDescent="0.25">
      <c r="B34" s="1"/>
      <c r="C34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355"/>
  <sheetViews>
    <sheetView tabSelected="1" zoomScaleNormal="100" workbookViewId="0">
      <pane ySplit="4" topLeftCell="A467" activePane="bottomLeft" state="frozen"/>
      <selection pane="bottomLeft"/>
    </sheetView>
  </sheetViews>
  <sheetFormatPr defaultRowHeight="12" customHeight="1" x14ac:dyDescent="0.25"/>
  <cols>
    <col min="1" max="1" width="8.28515625" customWidth="1"/>
    <col min="2" max="2" width="18.42578125" bestFit="1" customWidth="1"/>
    <col min="3" max="3" width="30.85546875" bestFit="1" customWidth="1"/>
    <col min="4" max="4" width="32.5703125" bestFit="1" customWidth="1"/>
    <col min="5" max="5" width="9.5703125" bestFit="1" customWidth="1"/>
    <col min="6" max="6" width="10.42578125" customWidth="1"/>
    <col min="7" max="8" width="7.28515625" customWidth="1"/>
    <col min="9" max="21" width="8.7109375" customWidth="1"/>
  </cols>
  <sheetData>
    <row r="1" spans="1:21" ht="12" customHeight="1" x14ac:dyDescent="0.25">
      <c r="A1" s="10"/>
      <c r="B1" s="10"/>
      <c r="C1" s="10"/>
      <c r="D1" s="10"/>
      <c r="E1" s="10"/>
      <c r="F1" s="10"/>
      <c r="G1" s="10"/>
      <c r="H1" s="10"/>
      <c r="I1" s="30" t="s">
        <v>31</v>
      </c>
      <c r="J1" s="31"/>
      <c r="K1" s="31"/>
      <c r="L1" s="33" t="s">
        <v>32</v>
      </c>
      <c r="M1" s="31"/>
      <c r="N1" s="31"/>
      <c r="O1" s="33" t="s">
        <v>33</v>
      </c>
      <c r="P1" s="31"/>
      <c r="Q1" s="31"/>
      <c r="R1" s="32"/>
      <c r="S1" s="30" t="s">
        <v>30</v>
      </c>
      <c r="T1" s="31"/>
      <c r="U1" s="32"/>
    </row>
    <row r="2" spans="1:21" ht="12" customHeight="1" x14ac:dyDescent="0.25">
      <c r="A2" s="10" t="s">
        <v>0</v>
      </c>
      <c r="B2" s="10" t="s">
        <v>1</v>
      </c>
      <c r="C2" s="10" t="s">
        <v>19</v>
      </c>
      <c r="D2" s="10" t="s">
        <v>47</v>
      </c>
      <c r="E2" s="10" t="s">
        <v>2</v>
      </c>
      <c r="F2" s="10" t="s">
        <v>3</v>
      </c>
      <c r="G2" s="10" t="s">
        <v>23</v>
      </c>
      <c r="H2" s="10" t="s">
        <v>4</v>
      </c>
      <c r="I2" s="27" t="s">
        <v>672</v>
      </c>
      <c r="J2" s="31"/>
      <c r="K2" s="34"/>
      <c r="L2" s="35" t="s">
        <v>672</v>
      </c>
      <c r="M2" s="28"/>
      <c r="N2" s="28"/>
      <c r="O2" s="35" t="s">
        <v>672</v>
      </c>
      <c r="P2" s="28"/>
      <c r="Q2" s="28"/>
      <c r="R2" s="20" t="s">
        <v>673</v>
      </c>
      <c r="S2" s="27" t="s">
        <v>34</v>
      </c>
      <c r="T2" s="28"/>
      <c r="U2" s="29"/>
    </row>
    <row r="3" spans="1:21" ht="12" customHeight="1" x14ac:dyDescent="0.25">
      <c r="A3" s="10"/>
      <c r="B3" s="10"/>
      <c r="C3" s="10"/>
      <c r="D3" s="10"/>
      <c r="E3" s="10"/>
      <c r="F3" s="10"/>
      <c r="G3" s="10"/>
      <c r="H3" s="10"/>
      <c r="I3" s="16" t="s">
        <v>6</v>
      </c>
      <c r="J3" s="10" t="s">
        <v>5</v>
      </c>
      <c r="K3" s="10" t="s">
        <v>5</v>
      </c>
      <c r="L3" s="17" t="s">
        <v>6</v>
      </c>
      <c r="M3" s="10" t="s">
        <v>5</v>
      </c>
      <c r="N3" s="10" t="s">
        <v>5</v>
      </c>
      <c r="O3" s="17" t="s">
        <v>6</v>
      </c>
      <c r="P3" s="10" t="s">
        <v>5</v>
      </c>
      <c r="Q3" s="10" t="s">
        <v>5</v>
      </c>
      <c r="R3" s="21" t="s">
        <v>5</v>
      </c>
      <c r="S3" s="16" t="s">
        <v>6</v>
      </c>
      <c r="T3" s="10" t="s">
        <v>5</v>
      </c>
      <c r="U3" s="18" t="s">
        <v>5</v>
      </c>
    </row>
    <row r="4" spans="1:21" ht="12" customHeight="1" x14ac:dyDescent="0.25">
      <c r="A4" s="10"/>
      <c r="B4" s="10"/>
      <c r="C4" s="10"/>
      <c r="D4" s="10"/>
      <c r="E4" s="10"/>
      <c r="F4" s="10"/>
      <c r="G4" s="10"/>
      <c r="H4" s="10"/>
      <c r="I4" s="11" t="s">
        <v>27</v>
      </c>
      <c r="J4" s="1" t="s">
        <v>28</v>
      </c>
      <c r="K4" s="1" t="s">
        <v>29</v>
      </c>
      <c r="L4" s="13" t="s">
        <v>27</v>
      </c>
      <c r="M4" s="1" t="s">
        <v>28</v>
      </c>
      <c r="N4" s="1" t="s">
        <v>29</v>
      </c>
      <c r="O4" s="13" t="s">
        <v>27</v>
      </c>
      <c r="P4" s="1" t="s">
        <v>28</v>
      </c>
      <c r="Q4" s="1" t="s">
        <v>29</v>
      </c>
      <c r="R4" s="22" t="s">
        <v>671</v>
      </c>
      <c r="S4" s="11" t="s">
        <v>27</v>
      </c>
      <c r="T4" s="1" t="s">
        <v>28</v>
      </c>
      <c r="U4" s="12" t="s">
        <v>29</v>
      </c>
    </row>
    <row r="5" spans="1:21" ht="12" customHeight="1" x14ac:dyDescent="0.25">
      <c r="A5" s="5">
        <v>167</v>
      </c>
      <c r="B5" s="19" t="s">
        <v>49</v>
      </c>
      <c r="C5" s="19" t="s">
        <v>50</v>
      </c>
      <c r="D5" s="5" t="s">
        <v>51</v>
      </c>
      <c r="E5" s="6">
        <v>366868.92090317002</v>
      </c>
      <c r="F5" s="6">
        <v>6548433.6038094005</v>
      </c>
      <c r="G5" s="7" t="str">
        <f>HYPERLINK("https://minkarta.lantmateriet.se/?e=366868,92090317&amp;n=6548433,6038094&amp;z=12&amp;profile=flygbildmedgranser&amp;background=2&amp;boundaries=true","Visa")</f>
        <v>Visa</v>
      </c>
      <c r="H5" s="5" t="s">
        <v>16</v>
      </c>
      <c r="I5" s="8">
        <v>40.55865</v>
      </c>
      <c r="J5" s="9">
        <v>44.888210000000001</v>
      </c>
      <c r="K5" s="9">
        <v>46.342179999999999</v>
      </c>
      <c r="L5" s="14">
        <v>41.495350000000002</v>
      </c>
      <c r="M5" s="9">
        <v>45.387709999999998</v>
      </c>
      <c r="N5" s="9">
        <v>48.858370000000001</v>
      </c>
      <c r="O5" s="14">
        <v>43.562489999999997</v>
      </c>
      <c r="P5" s="9">
        <v>60.03792</v>
      </c>
      <c r="Q5" s="9">
        <v>60.03792</v>
      </c>
      <c r="R5" s="23">
        <v>54.926270000000002</v>
      </c>
      <c r="S5" s="8">
        <v>2.0671400000000002</v>
      </c>
      <c r="T5" s="9">
        <v>14.65021</v>
      </c>
      <c r="U5" s="24">
        <v>11.179550000000001</v>
      </c>
    </row>
    <row r="6" spans="1:21" ht="12" customHeight="1" x14ac:dyDescent="0.25">
      <c r="A6" s="5">
        <v>168</v>
      </c>
      <c r="B6" s="19" t="s">
        <v>49</v>
      </c>
      <c r="C6" s="19" t="s">
        <v>50</v>
      </c>
      <c r="D6" s="5" t="s">
        <v>51</v>
      </c>
      <c r="E6" s="6">
        <v>366858.90480850998</v>
      </c>
      <c r="F6" s="6">
        <v>6548423.7235997999</v>
      </c>
      <c r="G6" s="7" t="str">
        <f>HYPERLINK("https://minkarta.lantmateriet.se/?e=366858,90480851&amp;n=6548423,7235998&amp;z=12&amp;profile=flygbildmedgranser&amp;background=2&amp;boundaries=true","Visa")</f>
        <v>Visa</v>
      </c>
      <c r="H6" s="5" t="s">
        <v>14</v>
      </c>
      <c r="I6" s="8">
        <v>40.966589999999997</v>
      </c>
      <c r="J6" s="9">
        <v>43.418460000000003</v>
      </c>
      <c r="K6" s="9">
        <v>44.872430000000001</v>
      </c>
      <c r="L6" s="14">
        <v>41.895099999999999</v>
      </c>
      <c r="M6" s="9">
        <v>43.917960000000001</v>
      </c>
      <c r="N6" s="9">
        <v>47.388620000000003</v>
      </c>
      <c r="O6" s="14">
        <v>43.714080000000003</v>
      </c>
      <c r="P6" s="9">
        <v>60.422620000000002</v>
      </c>
      <c r="Q6" s="9">
        <v>60.422620000000002</v>
      </c>
      <c r="R6" s="23">
        <v>54.890590000000003</v>
      </c>
      <c r="S6" s="8">
        <v>1.81898</v>
      </c>
      <c r="T6" s="9">
        <v>16.504660000000001</v>
      </c>
      <c r="U6" s="24">
        <v>13.034000000000001</v>
      </c>
    </row>
    <row r="7" spans="1:21" ht="12" customHeight="1" x14ac:dyDescent="0.25">
      <c r="A7" s="5">
        <v>169</v>
      </c>
      <c r="B7" s="19" t="s">
        <v>49</v>
      </c>
      <c r="C7" s="19" t="s">
        <v>50</v>
      </c>
      <c r="D7" s="5" t="s">
        <v>51</v>
      </c>
      <c r="E7" s="6">
        <v>366851.06190337002</v>
      </c>
      <c r="F7" s="6">
        <v>6548421.3453101004</v>
      </c>
      <c r="G7" s="7" t="str">
        <f>HYPERLINK("https://minkarta.lantmateriet.se/?e=366851,06190337&amp;n=6548421,3453101&amp;z=12&amp;profile=flygbildmedgranser&amp;background=2&amp;boundaries=true","Visa")</f>
        <v>Visa</v>
      </c>
      <c r="H7" s="5" t="s">
        <v>16</v>
      </c>
      <c r="I7" s="8">
        <v>38.853819999999999</v>
      </c>
      <c r="J7" s="9">
        <v>44.570650000000001</v>
      </c>
      <c r="K7" s="9">
        <v>46.024610000000003</v>
      </c>
      <c r="L7" s="14">
        <v>39.780209999999997</v>
      </c>
      <c r="M7" s="9">
        <v>45.070140000000002</v>
      </c>
      <c r="N7" s="9">
        <v>48.540799999999997</v>
      </c>
      <c r="O7" s="14">
        <v>41.103670000000001</v>
      </c>
      <c r="P7" s="9">
        <v>56.573180000000001</v>
      </c>
      <c r="Q7" s="9">
        <v>56.573180000000001</v>
      </c>
      <c r="R7" s="23">
        <v>51.792479999999998</v>
      </c>
      <c r="S7" s="8">
        <v>1.3234600000000001</v>
      </c>
      <c r="T7" s="9">
        <v>11.50304</v>
      </c>
      <c r="U7" s="24">
        <v>8.0323799999999999</v>
      </c>
    </row>
    <row r="8" spans="1:21" ht="12" customHeight="1" x14ac:dyDescent="0.25">
      <c r="A8" s="5">
        <v>170</v>
      </c>
      <c r="B8" s="19" t="s">
        <v>49</v>
      </c>
      <c r="C8" s="19" t="s">
        <v>50</v>
      </c>
      <c r="D8" s="5" t="s">
        <v>51</v>
      </c>
      <c r="E8" s="6">
        <v>366865.66919316998</v>
      </c>
      <c r="F8" s="6">
        <v>6548412.3994043004</v>
      </c>
      <c r="G8" s="7" t="str">
        <f>HYPERLINK("https://minkarta.lantmateriet.se/?e=366865,66919317&amp;n=6548412,3994043&amp;z=12&amp;profile=flygbildmedgranser&amp;background=2&amp;boundaries=true","Visa")</f>
        <v>Visa</v>
      </c>
      <c r="H8" s="5" t="s">
        <v>15</v>
      </c>
      <c r="I8" s="8">
        <v>39.068080000000002</v>
      </c>
      <c r="J8" s="9">
        <v>40.413269999999997</v>
      </c>
      <c r="K8" s="9">
        <v>41.941839999999999</v>
      </c>
      <c r="L8" s="14">
        <v>39.989100000000001</v>
      </c>
      <c r="M8" s="9">
        <v>40.842370000000003</v>
      </c>
      <c r="N8" s="9">
        <v>42.460340000000002</v>
      </c>
      <c r="O8" s="14">
        <v>40.016640000000002</v>
      </c>
      <c r="P8" s="9">
        <v>56.188870000000001</v>
      </c>
      <c r="Q8" s="9">
        <v>56.188870000000001</v>
      </c>
      <c r="R8" s="23">
        <v>36.539169999999999</v>
      </c>
      <c r="S8" s="8">
        <v>2.7539999999999999E-2</v>
      </c>
      <c r="T8" s="9">
        <v>15.346500000000001</v>
      </c>
      <c r="U8" s="24">
        <v>13.728529999999999</v>
      </c>
    </row>
    <row r="9" spans="1:21" ht="12" customHeight="1" x14ac:dyDescent="0.25">
      <c r="A9" s="5">
        <v>171</v>
      </c>
      <c r="B9" s="19" t="s">
        <v>49</v>
      </c>
      <c r="C9" s="19" t="s">
        <v>50</v>
      </c>
      <c r="D9" s="5" t="s">
        <v>51</v>
      </c>
      <c r="E9" s="6">
        <v>366882.79859864002</v>
      </c>
      <c r="F9" s="6">
        <v>6548412.0736939004</v>
      </c>
      <c r="G9" s="7" t="str">
        <f>HYPERLINK("https://minkarta.lantmateriet.se/?e=366882,79859864&amp;n=6548412,0736939&amp;z=12&amp;profile=flygbildmedgranser&amp;background=2&amp;boundaries=true","Visa")</f>
        <v>Visa</v>
      </c>
      <c r="H9" s="5" t="s">
        <v>13</v>
      </c>
      <c r="I9" s="8">
        <v>42.322510000000001</v>
      </c>
      <c r="J9" s="9">
        <v>52.033320000000003</v>
      </c>
      <c r="K9" s="9">
        <v>53.487279999999998</v>
      </c>
      <c r="L9" s="14">
        <v>43.278840000000002</v>
      </c>
      <c r="M9" s="9">
        <v>52.532809999999998</v>
      </c>
      <c r="N9" s="9">
        <v>56.00347</v>
      </c>
      <c r="O9" s="14">
        <v>43.719389999999997</v>
      </c>
      <c r="P9" s="9">
        <v>53.507649999999998</v>
      </c>
      <c r="Q9" s="9">
        <v>56.362220000000001</v>
      </c>
      <c r="R9" s="23">
        <v>41.360709999999997</v>
      </c>
      <c r="S9" s="8">
        <v>0.44055</v>
      </c>
      <c r="T9" s="9">
        <v>0.97484000000000004</v>
      </c>
      <c r="U9" s="24">
        <v>0.35875000000000001</v>
      </c>
    </row>
    <row r="10" spans="1:21" ht="12" customHeight="1" x14ac:dyDescent="0.25">
      <c r="A10" s="5">
        <v>172</v>
      </c>
      <c r="B10" s="19" t="s">
        <v>49</v>
      </c>
      <c r="C10" s="19" t="s">
        <v>50</v>
      </c>
      <c r="D10" s="5" t="s">
        <v>51</v>
      </c>
      <c r="E10" s="6">
        <v>366877.46380904998</v>
      </c>
      <c r="F10" s="6">
        <v>6548418.3200997002</v>
      </c>
      <c r="G10" s="7" t="str">
        <f>HYPERLINK("https://minkarta.lantmateriet.se/?e=366877,46380905&amp;n=6548418,3200997&amp;z=12&amp;profile=flygbildmedgranser&amp;background=2&amp;boundaries=true","Visa")</f>
        <v>Visa</v>
      </c>
      <c r="H10" s="5" t="s">
        <v>14</v>
      </c>
      <c r="I10" s="8">
        <v>41.382339999999999</v>
      </c>
      <c r="J10" s="9">
        <v>51.68018</v>
      </c>
      <c r="K10" s="9">
        <v>53.134149999999998</v>
      </c>
      <c r="L10" s="14">
        <v>42.317929999999997</v>
      </c>
      <c r="M10" s="9">
        <v>52.179679999999998</v>
      </c>
      <c r="N10" s="9">
        <v>55.65034</v>
      </c>
      <c r="O10" s="14">
        <v>42.693860000000001</v>
      </c>
      <c r="P10" s="9">
        <v>53.147129999999997</v>
      </c>
      <c r="Q10" s="9">
        <v>56.001710000000003</v>
      </c>
      <c r="R10" s="23">
        <v>42.427520000000001</v>
      </c>
      <c r="S10" s="8">
        <v>0.37592999999999999</v>
      </c>
      <c r="T10" s="9">
        <v>0.96745000000000003</v>
      </c>
      <c r="U10" s="24">
        <v>0.35137000000000002</v>
      </c>
    </row>
    <row r="11" spans="1:21" ht="12" customHeight="1" x14ac:dyDescent="0.25">
      <c r="A11" s="5">
        <v>173</v>
      </c>
      <c r="B11" s="19" t="s">
        <v>49</v>
      </c>
      <c r="C11" s="19" t="s">
        <v>50</v>
      </c>
      <c r="D11" s="5" t="s">
        <v>51</v>
      </c>
      <c r="E11" s="6">
        <v>366871.96759876999</v>
      </c>
      <c r="F11" s="6">
        <v>6548423.9441943998</v>
      </c>
      <c r="G11" s="7" t="str">
        <f>HYPERLINK("https://minkarta.lantmateriet.se/?e=366871,96759877&amp;n=6548423,9441944&amp;z=12&amp;profile=flygbildmedgranser&amp;background=2&amp;boundaries=true","Visa")</f>
        <v>Visa</v>
      </c>
      <c r="H11" s="5" t="s">
        <v>13</v>
      </c>
      <c r="I11" s="8">
        <v>41.084110000000003</v>
      </c>
      <c r="J11" s="9">
        <v>48.939190000000004</v>
      </c>
      <c r="K11" s="9">
        <v>50.393149999999999</v>
      </c>
      <c r="L11" s="14">
        <v>42.02317</v>
      </c>
      <c r="M11" s="9">
        <v>49.438690000000001</v>
      </c>
      <c r="N11" s="9">
        <v>52.90934</v>
      </c>
      <c r="O11" s="14">
        <v>42.166550000000001</v>
      </c>
      <c r="P11" s="9">
        <v>50.423499999999997</v>
      </c>
      <c r="Q11" s="9">
        <v>53.278080000000003</v>
      </c>
      <c r="R11" s="23">
        <v>37.036650000000002</v>
      </c>
      <c r="S11" s="8">
        <v>0.14338000000000001</v>
      </c>
      <c r="T11" s="9">
        <v>0.98480999999999996</v>
      </c>
      <c r="U11" s="24">
        <v>0.36874000000000001</v>
      </c>
    </row>
    <row r="12" spans="1:21" ht="12" customHeight="1" x14ac:dyDescent="0.25">
      <c r="A12" s="5">
        <v>174</v>
      </c>
      <c r="B12" s="19" t="s">
        <v>49</v>
      </c>
      <c r="C12" s="19" t="s">
        <v>50</v>
      </c>
      <c r="D12" s="5" t="s">
        <v>51</v>
      </c>
      <c r="E12" s="6">
        <v>366879.64519290999</v>
      </c>
      <c r="F12" s="6">
        <v>6548425.7139044004</v>
      </c>
      <c r="G12" s="7" t="str">
        <f>HYPERLINK("https://minkarta.lantmateriet.se/?e=366879,64519291&amp;n=6548425,7139044&amp;z=12&amp;profile=flygbildmedgranser&amp;background=2&amp;boundaries=true","Visa")</f>
        <v>Visa</v>
      </c>
      <c r="H12" s="5" t="s">
        <v>15</v>
      </c>
      <c r="I12" s="8">
        <v>40.974379999999996</v>
      </c>
      <c r="J12" s="9">
        <v>49.901319999999998</v>
      </c>
      <c r="K12" s="9">
        <v>51.355289999999997</v>
      </c>
      <c r="L12" s="14">
        <v>41.911900000000003</v>
      </c>
      <c r="M12" s="9">
        <v>50.400820000000003</v>
      </c>
      <c r="N12" s="9">
        <v>53.871479999999998</v>
      </c>
      <c r="O12" s="14">
        <v>42.275840000000002</v>
      </c>
      <c r="P12" s="9">
        <v>51.385640000000002</v>
      </c>
      <c r="Q12" s="9">
        <v>54.240209999999998</v>
      </c>
      <c r="R12" s="23">
        <v>38.757800000000003</v>
      </c>
      <c r="S12" s="8">
        <v>0.36393999999999999</v>
      </c>
      <c r="T12" s="9">
        <v>0.98482000000000003</v>
      </c>
      <c r="U12" s="24">
        <v>0.36873</v>
      </c>
    </row>
    <row r="13" spans="1:21" ht="12" customHeight="1" x14ac:dyDescent="0.25">
      <c r="A13" s="5">
        <v>175</v>
      </c>
      <c r="B13" s="19" t="s">
        <v>49</v>
      </c>
      <c r="C13" s="19" t="s">
        <v>50</v>
      </c>
      <c r="D13" s="5" t="s">
        <v>51</v>
      </c>
      <c r="E13" s="6">
        <v>366887.54209870001</v>
      </c>
      <c r="F13" s="6">
        <v>6548428.1616941001</v>
      </c>
      <c r="G13" s="7" t="str">
        <f>HYPERLINK("https://minkarta.lantmateriet.se/?e=366887,5420987&amp;n=6548428,1616941&amp;z=12&amp;profile=flygbildmedgranser&amp;background=2&amp;boundaries=true","Visa")</f>
        <v>Visa</v>
      </c>
      <c r="H13" s="5" t="s">
        <v>13</v>
      </c>
      <c r="I13" s="8">
        <v>43.114159999999998</v>
      </c>
      <c r="J13" s="9">
        <v>54.256599999999999</v>
      </c>
      <c r="K13" s="9">
        <v>55.710569999999997</v>
      </c>
      <c r="L13" s="14">
        <v>44.076129999999999</v>
      </c>
      <c r="M13" s="9">
        <v>54.756100000000004</v>
      </c>
      <c r="N13" s="9">
        <v>58.226759999999999</v>
      </c>
      <c r="O13" s="14">
        <v>44.669530000000002</v>
      </c>
      <c r="P13" s="9">
        <v>55.740920000000003</v>
      </c>
      <c r="Q13" s="9">
        <v>58.595489999999998</v>
      </c>
      <c r="R13" s="23">
        <v>36.052599999999998</v>
      </c>
      <c r="S13" s="8">
        <v>0.59340000000000004</v>
      </c>
      <c r="T13" s="9">
        <v>0.98482000000000003</v>
      </c>
      <c r="U13" s="24">
        <v>0.36873</v>
      </c>
    </row>
    <row r="14" spans="1:21" ht="12" customHeight="1" x14ac:dyDescent="0.25">
      <c r="A14" s="5">
        <v>176</v>
      </c>
      <c r="B14" s="19" t="s">
        <v>49</v>
      </c>
      <c r="C14" s="19" t="s">
        <v>50</v>
      </c>
      <c r="D14" s="5" t="s">
        <v>51</v>
      </c>
      <c r="E14" s="6">
        <v>366882.22330835002</v>
      </c>
      <c r="F14" s="6">
        <v>6548434.4755998002</v>
      </c>
      <c r="G14" s="7" t="str">
        <f>HYPERLINK("https://minkarta.lantmateriet.se/?e=366882,22330835&amp;n=6548434,4755998&amp;z=12&amp;profile=flygbildmedgranser&amp;background=2&amp;boundaries=true","Visa")</f>
        <v>Visa</v>
      </c>
      <c r="H14" s="5" t="s">
        <v>14</v>
      </c>
      <c r="I14" s="8">
        <v>41.782879999999999</v>
      </c>
      <c r="J14" s="9">
        <v>50.518380000000001</v>
      </c>
      <c r="K14" s="9">
        <v>51.972340000000003</v>
      </c>
      <c r="L14" s="14">
        <v>42.72757</v>
      </c>
      <c r="M14" s="9">
        <v>51.017870000000002</v>
      </c>
      <c r="N14" s="9">
        <v>54.488529999999997</v>
      </c>
      <c r="O14" s="14">
        <v>43.433210000000003</v>
      </c>
      <c r="P14" s="9">
        <v>52.002690000000001</v>
      </c>
      <c r="Q14" s="9">
        <v>54.85727</v>
      </c>
      <c r="R14" s="23">
        <v>43.709240000000001</v>
      </c>
      <c r="S14" s="8">
        <v>0.70564000000000004</v>
      </c>
      <c r="T14" s="9">
        <v>0.98482000000000003</v>
      </c>
      <c r="U14" s="24">
        <v>0.36874000000000001</v>
      </c>
    </row>
    <row r="15" spans="1:21" ht="12" customHeight="1" x14ac:dyDescent="0.25">
      <c r="A15" s="5">
        <v>177</v>
      </c>
      <c r="B15" s="19" t="s">
        <v>49</v>
      </c>
      <c r="C15" s="19" t="s">
        <v>50</v>
      </c>
      <c r="D15" s="5" t="s">
        <v>51</v>
      </c>
      <c r="E15" s="6">
        <v>366876.72609875997</v>
      </c>
      <c r="F15" s="6">
        <v>6548440.1086943001</v>
      </c>
      <c r="G15" s="7" t="str">
        <f>HYPERLINK("https://minkarta.lantmateriet.se/?e=366876,72609876&amp;n=6548440,1086943&amp;z=12&amp;profile=flygbildmedgranser&amp;background=2&amp;boundaries=true","Visa")</f>
        <v>Visa</v>
      </c>
      <c r="H15" s="5" t="s">
        <v>13</v>
      </c>
      <c r="I15" s="8">
        <v>41.327530000000003</v>
      </c>
      <c r="J15" s="9">
        <v>49.958460000000002</v>
      </c>
      <c r="K15" s="9">
        <v>51.412419999999997</v>
      </c>
      <c r="L15" s="14">
        <v>42.273719999999997</v>
      </c>
      <c r="M15" s="9">
        <v>50.457949999999997</v>
      </c>
      <c r="N15" s="9">
        <v>53.928609999999999</v>
      </c>
      <c r="O15" s="14">
        <v>42.958570000000002</v>
      </c>
      <c r="P15" s="9">
        <v>51.442770000000003</v>
      </c>
      <c r="Q15" s="9">
        <v>54.297350000000002</v>
      </c>
      <c r="R15" s="23">
        <v>44.360239999999997</v>
      </c>
      <c r="S15" s="8">
        <v>0.68484999999999996</v>
      </c>
      <c r="T15" s="9">
        <v>0.98482000000000003</v>
      </c>
      <c r="U15" s="24">
        <v>0.36874000000000001</v>
      </c>
    </row>
    <row r="16" spans="1:21" ht="12" customHeight="1" x14ac:dyDescent="0.25">
      <c r="A16" s="5">
        <v>178</v>
      </c>
      <c r="B16" s="19" t="s">
        <v>49</v>
      </c>
      <c r="C16" s="19" t="s">
        <v>50</v>
      </c>
      <c r="D16" s="5" t="s">
        <v>51</v>
      </c>
      <c r="E16" s="6">
        <v>366884.40369327</v>
      </c>
      <c r="F16" s="6">
        <v>6548441.8879043004</v>
      </c>
      <c r="G16" s="7" t="str">
        <f>HYPERLINK("https://minkarta.lantmateriet.se/?e=366884,40369327&amp;n=6548441,8879043&amp;z=12&amp;profile=flygbildmedgranser&amp;background=2&amp;boundaries=true","Visa")</f>
        <v>Visa</v>
      </c>
      <c r="H16" s="5" t="s">
        <v>15</v>
      </c>
      <c r="I16" s="8">
        <v>41.331629999999997</v>
      </c>
      <c r="J16" s="9">
        <v>50.050719999999998</v>
      </c>
      <c r="K16" s="9">
        <v>51.50468</v>
      </c>
      <c r="L16" s="14">
        <v>42.275039999999997</v>
      </c>
      <c r="M16" s="9">
        <v>50.550220000000003</v>
      </c>
      <c r="N16" s="9">
        <v>54.020870000000002</v>
      </c>
      <c r="O16" s="14">
        <v>42.833660000000002</v>
      </c>
      <c r="P16" s="9">
        <v>51.535029999999999</v>
      </c>
      <c r="Q16" s="9">
        <v>54.389609999999998</v>
      </c>
      <c r="R16" s="23">
        <v>44.675910000000002</v>
      </c>
      <c r="S16" s="8">
        <v>0.55862000000000001</v>
      </c>
      <c r="T16" s="9">
        <v>0.98480999999999996</v>
      </c>
      <c r="U16" s="24">
        <v>0.36874000000000001</v>
      </c>
    </row>
    <row r="17" spans="1:21" ht="12" customHeight="1" x14ac:dyDescent="0.25">
      <c r="A17" s="5">
        <v>179</v>
      </c>
      <c r="B17" s="19" t="s">
        <v>49</v>
      </c>
      <c r="C17" s="19" t="s">
        <v>50</v>
      </c>
      <c r="D17" s="5" t="s">
        <v>51</v>
      </c>
      <c r="E17" s="6">
        <v>366892.29159848002</v>
      </c>
      <c r="F17" s="6">
        <v>6548444.3131934004</v>
      </c>
      <c r="G17" s="7" t="str">
        <f>HYPERLINK("https://minkarta.lantmateriet.se/?e=366892,29159848&amp;n=6548444,3131934&amp;z=12&amp;profile=flygbildmedgranser&amp;background=2&amp;boundaries=true","Visa")</f>
        <v>Visa</v>
      </c>
      <c r="H17" s="5" t="s">
        <v>13</v>
      </c>
      <c r="I17" s="8">
        <v>44.077599999999997</v>
      </c>
      <c r="J17" s="9">
        <v>56.261859999999999</v>
      </c>
      <c r="K17" s="9">
        <v>57.715820000000001</v>
      </c>
      <c r="L17" s="14">
        <v>45.050789999999999</v>
      </c>
      <c r="M17" s="9">
        <v>56.76135</v>
      </c>
      <c r="N17" s="9">
        <v>60.232010000000002</v>
      </c>
      <c r="O17" s="14">
        <v>46.13382</v>
      </c>
      <c r="P17" s="9">
        <v>57.746169999999999</v>
      </c>
      <c r="Q17" s="9">
        <v>60.600749999999998</v>
      </c>
      <c r="R17" s="23">
        <v>48.04757</v>
      </c>
      <c r="S17" s="8">
        <v>1.0830299999999999</v>
      </c>
      <c r="T17" s="9">
        <v>0.98482000000000003</v>
      </c>
      <c r="U17" s="24">
        <v>0.36874000000000001</v>
      </c>
    </row>
    <row r="18" spans="1:21" ht="12" customHeight="1" x14ac:dyDescent="0.25">
      <c r="A18" s="5">
        <v>180</v>
      </c>
      <c r="B18" s="19" t="s">
        <v>49</v>
      </c>
      <c r="C18" s="19" t="s">
        <v>50</v>
      </c>
      <c r="D18" s="5" t="s">
        <v>51</v>
      </c>
      <c r="E18" s="6">
        <v>366877.67080811999</v>
      </c>
      <c r="F18" s="6">
        <v>6548453.3220998999</v>
      </c>
      <c r="G18" s="7" t="str">
        <f>HYPERLINK("https://minkarta.lantmateriet.se/?e=366877,67080812&amp;n=6548453,3220999&amp;z=12&amp;profile=flygbildmedgranser&amp;background=2&amp;boundaries=true","Visa")</f>
        <v>Visa</v>
      </c>
      <c r="H18" s="5" t="s">
        <v>14</v>
      </c>
      <c r="I18" s="8">
        <v>45.623330000000003</v>
      </c>
      <c r="J18" s="9">
        <v>56.390560000000001</v>
      </c>
      <c r="K18" s="9">
        <v>57.844529999999999</v>
      </c>
      <c r="L18" s="14">
        <v>46.615780000000001</v>
      </c>
      <c r="M18" s="9">
        <v>56.890059999999998</v>
      </c>
      <c r="N18" s="9">
        <v>60.360720000000001</v>
      </c>
      <c r="O18" s="14">
        <v>47.890099999999997</v>
      </c>
      <c r="P18" s="9">
        <v>58.622520000000002</v>
      </c>
      <c r="Q18" s="9">
        <v>60.866790000000002</v>
      </c>
      <c r="R18" s="23">
        <v>53.242660000000001</v>
      </c>
      <c r="S18" s="8">
        <v>1.2743199999999999</v>
      </c>
      <c r="T18" s="9">
        <v>1.7324600000000001</v>
      </c>
      <c r="U18" s="24">
        <v>0.50607000000000002</v>
      </c>
    </row>
    <row r="19" spans="1:21" ht="12" customHeight="1" x14ac:dyDescent="0.25">
      <c r="A19" s="5">
        <v>181</v>
      </c>
      <c r="B19" s="19" t="s">
        <v>49</v>
      </c>
      <c r="C19" s="19" t="s">
        <v>50</v>
      </c>
      <c r="D19" s="5" t="s">
        <v>51</v>
      </c>
      <c r="E19" s="6">
        <v>366860.49840326002</v>
      </c>
      <c r="F19" s="6">
        <v>6548453.6103096996</v>
      </c>
      <c r="G19" s="7" t="str">
        <f>HYPERLINK("https://minkarta.lantmateriet.se/?e=366860,49840326&amp;n=6548453,6103097&amp;z=12&amp;profile=flygbildmedgranser&amp;background=2&amp;boundaries=true","Visa")</f>
        <v>Visa</v>
      </c>
      <c r="H19" s="5" t="s">
        <v>16</v>
      </c>
      <c r="I19" s="8">
        <v>39.356749999999998</v>
      </c>
      <c r="J19" s="9">
        <v>46.53781</v>
      </c>
      <c r="K19" s="9">
        <v>47.991779999999999</v>
      </c>
      <c r="L19" s="14">
        <v>40.29119</v>
      </c>
      <c r="M19" s="9">
        <v>47.037309999999998</v>
      </c>
      <c r="N19" s="9">
        <v>50.50797</v>
      </c>
      <c r="O19" s="14">
        <v>42.014139999999998</v>
      </c>
      <c r="P19" s="9">
        <v>56.606479999999998</v>
      </c>
      <c r="Q19" s="9">
        <v>56.606479999999998</v>
      </c>
      <c r="R19" s="23">
        <v>51.971469999999997</v>
      </c>
      <c r="S19" s="8">
        <v>1.72295</v>
      </c>
      <c r="T19" s="9">
        <v>9.5691699999999997</v>
      </c>
      <c r="U19" s="24">
        <v>6.0985100000000001</v>
      </c>
    </row>
    <row r="20" spans="1:21" ht="12" customHeight="1" x14ac:dyDescent="0.25">
      <c r="A20" s="5">
        <v>182</v>
      </c>
      <c r="B20" s="19" t="s">
        <v>49</v>
      </c>
      <c r="C20" s="19" t="s">
        <v>50</v>
      </c>
      <c r="D20" s="5" t="s">
        <v>51</v>
      </c>
      <c r="E20" s="6">
        <v>366865.80719455</v>
      </c>
      <c r="F20" s="6">
        <v>6548447.3239038996</v>
      </c>
      <c r="G20" s="7" t="str">
        <f>HYPERLINK("https://minkarta.lantmateriet.se/?e=366865,80719455&amp;n=6548447,3239039&amp;z=12&amp;profile=flygbildmedgranser&amp;background=2&amp;boundaries=true","Visa")</f>
        <v>Visa</v>
      </c>
      <c r="H20" s="5" t="s">
        <v>15</v>
      </c>
      <c r="I20" s="8">
        <v>40.333820000000003</v>
      </c>
      <c r="J20" s="9">
        <v>43.384059999999998</v>
      </c>
      <c r="K20" s="9">
        <v>44.83802</v>
      </c>
      <c r="L20" s="14">
        <v>41.264310000000002</v>
      </c>
      <c r="M20" s="9">
        <v>43.883560000000003</v>
      </c>
      <c r="N20" s="9">
        <v>47.354210000000002</v>
      </c>
      <c r="O20" s="14">
        <v>42.526679999999999</v>
      </c>
      <c r="P20" s="9">
        <v>58.77505</v>
      </c>
      <c r="Q20" s="9">
        <v>58.77505</v>
      </c>
      <c r="R20" s="23">
        <v>50.36139</v>
      </c>
      <c r="S20" s="8">
        <v>1.26237</v>
      </c>
      <c r="T20" s="9">
        <v>14.891489999999999</v>
      </c>
      <c r="U20" s="24">
        <v>11.42084</v>
      </c>
    </row>
    <row r="21" spans="1:21" ht="12" customHeight="1" x14ac:dyDescent="0.25">
      <c r="A21" s="5">
        <v>183</v>
      </c>
      <c r="B21" s="19" t="s">
        <v>52</v>
      </c>
      <c r="C21" s="19" t="s">
        <v>7</v>
      </c>
      <c r="D21" s="5" t="s">
        <v>53</v>
      </c>
      <c r="E21" s="6">
        <v>367011.81806016999</v>
      </c>
      <c r="F21" s="6">
        <v>6548855.2198144002</v>
      </c>
      <c r="G21" s="7" t="str">
        <f>HYPERLINK("https://minkarta.lantmateriet.se/?e=367011,81806017&amp;n=6548855,2198144&amp;z=12&amp;profile=flygbildmedgranser&amp;background=2&amp;boundaries=true","Visa")</f>
        <v>Visa</v>
      </c>
      <c r="H21" s="5" t="s">
        <v>9</v>
      </c>
      <c r="I21" s="8">
        <v>40.329120000000003</v>
      </c>
      <c r="J21" s="9">
        <v>49.791200000000003</v>
      </c>
      <c r="K21" s="9">
        <v>51.359949999999998</v>
      </c>
      <c r="L21" s="14">
        <v>41.247509999999998</v>
      </c>
      <c r="M21" s="9">
        <v>50.247729999999997</v>
      </c>
      <c r="N21" s="9">
        <v>51.865450000000003</v>
      </c>
      <c r="O21" s="14">
        <v>41.385860000000001</v>
      </c>
      <c r="P21" s="9">
        <v>50.27881</v>
      </c>
      <c r="Q21" s="9">
        <v>51.895049999999998</v>
      </c>
      <c r="R21" s="23">
        <v>26.55097</v>
      </c>
      <c r="S21" s="8">
        <v>0.13835</v>
      </c>
      <c r="T21" s="9">
        <v>3.108E-2</v>
      </c>
      <c r="U21" s="24">
        <v>2.9600000000000001E-2</v>
      </c>
    </row>
    <row r="22" spans="1:21" ht="12" customHeight="1" x14ac:dyDescent="0.25">
      <c r="A22" s="5">
        <v>184</v>
      </c>
      <c r="B22" s="19" t="s">
        <v>52</v>
      </c>
      <c r="C22" s="19" t="s">
        <v>7</v>
      </c>
      <c r="D22" s="5" t="s">
        <v>54</v>
      </c>
      <c r="E22" s="6">
        <v>366900.11037930998</v>
      </c>
      <c r="F22" s="6">
        <v>6548758.7066678004</v>
      </c>
      <c r="G22" s="7" t="str">
        <f>HYPERLINK("https://minkarta.lantmateriet.se/?e=366900,11037931&amp;n=6548758,7066678&amp;z=12&amp;profile=flygbildmedgranser&amp;background=2&amp;boundaries=true","Visa")</f>
        <v>Visa</v>
      </c>
      <c r="H22" s="5" t="s">
        <v>11</v>
      </c>
      <c r="I22" s="8">
        <v>43.563220000000001</v>
      </c>
      <c r="J22" s="9">
        <v>52.906590000000001</v>
      </c>
      <c r="K22" s="9">
        <v>52.906590000000001</v>
      </c>
      <c r="L22" s="14">
        <v>44.462409999999998</v>
      </c>
      <c r="M22" s="9">
        <v>52.906590000000001</v>
      </c>
      <c r="N22" s="9">
        <v>52.906590000000001</v>
      </c>
      <c r="O22" s="14">
        <v>44.91769</v>
      </c>
      <c r="P22" s="9">
        <v>52.906590000000001</v>
      </c>
      <c r="Q22" s="9">
        <v>52.906590000000001</v>
      </c>
      <c r="R22" s="23">
        <v>41.527650000000001</v>
      </c>
      <c r="S22" s="8">
        <v>0.45528000000000002</v>
      </c>
      <c r="T22" s="9">
        <v>0</v>
      </c>
      <c r="U22" s="24">
        <v>0</v>
      </c>
    </row>
    <row r="23" spans="1:21" ht="12" customHeight="1" x14ac:dyDescent="0.25">
      <c r="A23" s="5">
        <v>187</v>
      </c>
      <c r="B23" s="19" t="s">
        <v>52</v>
      </c>
      <c r="C23" s="19" t="s">
        <v>7</v>
      </c>
      <c r="D23" s="5" t="s">
        <v>55</v>
      </c>
      <c r="E23" s="6">
        <v>366902.64804378001</v>
      </c>
      <c r="F23" s="6">
        <v>6548721.0238394001</v>
      </c>
      <c r="G23" s="7" t="str">
        <f>HYPERLINK("https://minkarta.lantmateriet.se/?e=366902,64804378&amp;n=6548721,0238394&amp;z=12&amp;profile=flygbildmedgranser&amp;background=2&amp;boundaries=true","Visa")</f>
        <v>Visa</v>
      </c>
      <c r="H23" s="5" t="s">
        <v>11</v>
      </c>
      <c r="I23" s="8">
        <v>45.045810000000003</v>
      </c>
      <c r="J23" s="9">
        <v>48.355899999999998</v>
      </c>
      <c r="K23" s="9">
        <v>50.565350000000002</v>
      </c>
      <c r="L23" s="14">
        <v>45.954410000000003</v>
      </c>
      <c r="M23" s="9">
        <v>48.976140000000001</v>
      </c>
      <c r="N23" s="9">
        <v>51.314779999999999</v>
      </c>
      <c r="O23" s="14">
        <v>46.535170000000001</v>
      </c>
      <c r="P23" s="9">
        <v>49.009659999999997</v>
      </c>
      <c r="Q23" s="9">
        <v>51.349550000000001</v>
      </c>
      <c r="R23" s="23">
        <v>42.768689999999999</v>
      </c>
      <c r="S23" s="8">
        <v>0.58076000000000005</v>
      </c>
      <c r="T23" s="9">
        <v>3.3520000000000001E-2</v>
      </c>
      <c r="U23" s="24">
        <v>3.4770000000000002E-2</v>
      </c>
    </row>
    <row r="24" spans="1:21" ht="12" customHeight="1" x14ac:dyDescent="0.25">
      <c r="A24" s="5">
        <v>188</v>
      </c>
      <c r="B24" s="19" t="s">
        <v>52</v>
      </c>
      <c r="C24" s="19" t="s">
        <v>7</v>
      </c>
      <c r="D24" s="5" t="s">
        <v>56</v>
      </c>
      <c r="E24" s="6">
        <v>367059.64582133997</v>
      </c>
      <c r="F24" s="6">
        <v>6548844.3549547996</v>
      </c>
      <c r="G24" s="7" t="str">
        <f>HYPERLINK("https://minkarta.lantmateriet.se/?e=367059,64582134&amp;n=6548844,3549548&amp;z=12&amp;profile=flygbildmedgranser&amp;background=2&amp;boundaries=true","Visa")</f>
        <v>Visa</v>
      </c>
      <c r="H24" s="5" t="s">
        <v>8</v>
      </c>
      <c r="I24" s="8">
        <v>34.425400000000003</v>
      </c>
      <c r="J24" s="9">
        <v>35.403469999999999</v>
      </c>
      <c r="K24" s="9">
        <v>36.932049999999997</v>
      </c>
      <c r="L24" s="14">
        <v>35.341479999999997</v>
      </c>
      <c r="M24" s="9">
        <v>35.83258</v>
      </c>
      <c r="N24" s="9">
        <v>37.48019</v>
      </c>
      <c r="O24" s="14">
        <v>35.901429999999998</v>
      </c>
      <c r="P24" s="9">
        <v>35.981630000000003</v>
      </c>
      <c r="Q24" s="9">
        <v>37.600459999999998</v>
      </c>
      <c r="R24" s="23">
        <v>39.112670000000001</v>
      </c>
      <c r="S24" s="8">
        <v>0.55994999999999995</v>
      </c>
      <c r="T24" s="9">
        <v>0.14904999999999999</v>
      </c>
      <c r="U24" s="24">
        <v>0.12027</v>
      </c>
    </row>
    <row r="25" spans="1:21" ht="12" customHeight="1" x14ac:dyDescent="0.25">
      <c r="A25" s="5">
        <v>193</v>
      </c>
      <c r="B25" s="19" t="s">
        <v>52</v>
      </c>
      <c r="C25" s="19" t="s">
        <v>7</v>
      </c>
      <c r="D25" s="5" t="s">
        <v>57</v>
      </c>
      <c r="E25" s="6">
        <v>366852.36326682998</v>
      </c>
      <c r="F25" s="6">
        <v>6548714.7465979001</v>
      </c>
      <c r="G25" s="7" t="str">
        <f>HYPERLINK("https://minkarta.lantmateriet.se/?e=366852,36326683&amp;n=6548714,7465979&amp;z=12&amp;profile=flygbildmedgranser&amp;background=2&amp;boundaries=true","Visa")</f>
        <v>Visa</v>
      </c>
      <c r="H25" s="5" t="s">
        <v>11</v>
      </c>
      <c r="I25" s="8">
        <v>43.976320000000001</v>
      </c>
      <c r="J25" s="9">
        <v>54.790579999999999</v>
      </c>
      <c r="K25" s="9">
        <v>54.790579999999999</v>
      </c>
      <c r="L25" s="14">
        <v>44.870980000000003</v>
      </c>
      <c r="M25" s="9">
        <v>54.790579999999999</v>
      </c>
      <c r="N25" s="9">
        <v>54.790579999999999</v>
      </c>
      <c r="O25" s="14">
        <v>45.121589999999998</v>
      </c>
      <c r="P25" s="9">
        <v>54.790579999999999</v>
      </c>
      <c r="Q25" s="9">
        <v>54.790579999999999</v>
      </c>
      <c r="R25" s="23">
        <v>43.394419999999997</v>
      </c>
      <c r="S25" s="8">
        <v>0.25061</v>
      </c>
      <c r="T25" s="9">
        <v>0</v>
      </c>
      <c r="U25" s="24">
        <v>0</v>
      </c>
    </row>
    <row r="26" spans="1:21" ht="12" customHeight="1" x14ac:dyDescent="0.25">
      <c r="A26" s="5">
        <v>197</v>
      </c>
      <c r="B26" s="19" t="s">
        <v>52</v>
      </c>
      <c r="C26" s="19" t="s">
        <v>7</v>
      </c>
      <c r="D26" s="5" t="s">
        <v>58</v>
      </c>
      <c r="E26" s="6">
        <v>366958.88093058002</v>
      </c>
      <c r="F26" s="6">
        <v>6548800.7453086004</v>
      </c>
      <c r="G26" s="7" t="str">
        <f>HYPERLINK("https://minkarta.lantmateriet.se/?e=366958,88093058&amp;n=6548800,7453086&amp;z=12&amp;profile=flygbildmedgranser&amp;background=2&amp;boundaries=true","Visa")</f>
        <v>Visa</v>
      </c>
      <c r="H26" s="5" t="s">
        <v>8</v>
      </c>
      <c r="I26" s="8">
        <v>35.283529999999999</v>
      </c>
      <c r="J26" s="9">
        <v>44.313470000000002</v>
      </c>
      <c r="K26" s="9">
        <v>45.882219999999997</v>
      </c>
      <c r="L26" s="14">
        <v>36.190539999999999</v>
      </c>
      <c r="M26" s="9">
        <v>44.77</v>
      </c>
      <c r="N26" s="9">
        <v>46.387720000000002</v>
      </c>
      <c r="O26" s="14">
        <v>36.433430000000001</v>
      </c>
      <c r="P26" s="9">
        <v>44.801079999999999</v>
      </c>
      <c r="Q26" s="9">
        <v>46.417319999999997</v>
      </c>
      <c r="R26" s="23">
        <v>31.747910000000001</v>
      </c>
      <c r="S26" s="8">
        <v>0.24288999999999999</v>
      </c>
      <c r="T26" s="9">
        <v>3.108E-2</v>
      </c>
      <c r="U26" s="24">
        <v>2.9600000000000001E-2</v>
      </c>
    </row>
    <row r="27" spans="1:21" ht="12" customHeight="1" x14ac:dyDescent="0.25">
      <c r="A27" s="5">
        <v>198</v>
      </c>
      <c r="B27" s="19" t="s">
        <v>52</v>
      </c>
      <c r="C27" s="19" t="s">
        <v>7</v>
      </c>
      <c r="D27" s="5" t="s">
        <v>59</v>
      </c>
      <c r="E27" s="6">
        <v>367033.42381864</v>
      </c>
      <c r="F27" s="6">
        <v>6548822.3299506996</v>
      </c>
      <c r="G27" s="7" t="str">
        <f>HYPERLINK("https://minkarta.lantmateriet.se/?e=367033,42381864&amp;n=6548822,3299507&amp;z=12&amp;profile=flygbildmedgranser&amp;background=2&amp;boundaries=true","Visa")</f>
        <v>Visa</v>
      </c>
      <c r="H27" s="5" t="s">
        <v>8</v>
      </c>
      <c r="I27" s="8">
        <v>34.975149999999999</v>
      </c>
      <c r="J27" s="9">
        <v>37.2136</v>
      </c>
      <c r="K27" s="9">
        <v>38.742179999999998</v>
      </c>
      <c r="L27" s="14">
        <v>35.89508</v>
      </c>
      <c r="M27" s="9">
        <v>37.642710000000001</v>
      </c>
      <c r="N27" s="9">
        <v>39.260680000000001</v>
      </c>
      <c r="O27" s="14">
        <v>36.509799999999998</v>
      </c>
      <c r="P27" s="9">
        <v>38.330840000000002</v>
      </c>
      <c r="Q27" s="9">
        <v>39.949680000000001</v>
      </c>
      <c r="R27" s="23">
        <v>39.698320000000002</v>
      </c>
      <c r="S27" s="8">
        <v>0.61472000000000004</v>
      </c>
      <c r="T27" s="9">
        <v>0.68813000000000002</v>
      </c>
      <c r="U27" s="24">
        <v>0.68899999999999995</v>
      </c>
    </row>
    <row r="28" spans="1:21" ht="12" customHeight="1" x14ac:dyDescent="0.25">
      <c r="A28" s="5">
        <v>199</v>
      </c>
      <c r="B28" s="19" t="s">
        <v>52</v>
      </c>
      <c r="C28" s="19" t="s">
        <v>7</v>
      </c>
      <c r="D28" s="5" t="s">
        <v>60</v>
      </c>
      <c r="E28" s="6">
        <v>366828.61125183001</v>
      </c>
      <c r="F28" s="6">
        <v>6548671.0053037005</v>
      </c>
      <c r="G28" s="7" t="str">
        <f>HYPERLINK("https://minkarta.lantmateriet.se/?e=366828,61125183&amp;n=6548671,0053037&amp;z=12&amp;profile=flygbildmedgranser&amp;background=2&amp;boundaries=true","Visa")</f>
        <v>Visa</v>
      </c>
      <c r="H28" s="5" t="s">
        <v>16</v>
      </c>
      <c r="I28" s="8">
        <v>46.08296</v>
      </c>
      <c r="J28" s="9">
        <v>55.313690000000001</v>
      </c>
      <c r="K28" s="9">
        <v>55.313690000000001</v>
      </c>
      <c r="L28" s="14">
        <v>46.974719999999998</v>
      </c>
      <c r="M28" s="9">
        <v>55.313690000000001</v>
      </c>
      <c r="N28" s="9">
        <v>56.992010000000001</v>
      </c>
      <c r="O28" s="14">
        <v>47.26831</v>
      </c>
      <c r="P28" s="9">
        <v>55.313690000000001</v>
      </c>
      <c r="Q28" s="9">
        <v>57.305540000000001</v>
      </c>
      <c r="R28" s="23">
        <v>42.081769999999999</v>
      </c>
      <c r="S28" s="8">
        <v>0.29359000000000002</v>
      </c>
      <c r="T28" s="9">
        <v>0</v>
      </c>
      <c r="U28" s="24">
        <v>0.31352999999999998</v>
      </c>
    </row>
    <row r="29" spans="1:21" ht="12" customHeight="1" x14ac:dyDescent="0.25">
      <c r="A29" s="5">
        <v>200</v>
      </c>
      <c r="B29" s="19" t="s">
        <v>52</v>
      </c>
      <c r="C29" s="19" t="s">
        <v>7</v>
      </c>
      <c r="D29" s="5" t="s">
        <v>61</v>
      </c>
      <c r="E29" s="6">
        <v>366932.99539139</v>
      </c>
      <c r="F29" s="6">
        <v>6548747.2936509997</v>
      </c>
      <c r="G29" s="7" t="str">
        <f>HYPERLINK("https://minkarta.lantmateriet.se/?e=366932,99539139&amp;n=6548747,293651&amp;z=12&amp;profile=flygbildmedgranser&amp;background=2&amp;boundaries=true","Visa")</f>
        <v>Visa</v>
      </c>
      <c r="H29" s="5" t="s">
        <v>11</v>
      </c>
      <c r="I29" s="8">
        <v>41.269750000000002</v>
      </c>
      <c r="J29" s="9">
        <v>49.782969999999999</v>
      </c>
      <c r="K29" s="9">
        <v>49.782969999999999</v>
      </c>
      <c r="L29" s="14">
        <v>42.179949999999998</v>
      </c>
      <c r="M29" s="9">
        <v>49.782969999999999</v>
      </c>
      <c r="N29" s="9">
        <v>49.782969999999999</v>
      </c>
      <c r="O29" s="14">
        <v>42.345739999999999</v>
      </c>
      <c r="P29" s="9">
        <v>49.782969999999999</v>
      </c>
      <c r="Q29" s="9">
        <v>49.782969999999999</v>
      </c>
      <c r="R29" s="23">
        <v>37.638509999999997</v>
      </c>
      <c r="S29" s="8">
        <v>0.16578999999999999</v>
      </c>
      <c r="T29" s="9">
        <v>0</v>
      </c>
      <c r="U29" s="24">
        <v>0</v>
      </c>
    </row>
    <row r="30" spans="1:21" ht="12" customHeight="1" x14ac:dyDescent="0.25">
      <c r="A30" s="5">
        <v>202</v>
      </c>
      <c r="B30" s="19" t="s">
        <v>52</v>
      </c>
      <c r="C30" s="19" t="s">
        <v>7</v>
      </c>
      <c r="D30" s="5" t="s">
        <v>60</v>
      </c>
      <c r="E30" s="6">
        <v>366831.08069988003</v>
      </c>
      <c r="F30" s="6">
        <v>6548661.9357526004</v>
      </c>
      <c r="G30" s="7" t="str">
        <f>HYPERLINK("https://minkarta.lantmateriet.se/?e=366831,08069988&amp;n=6548661,9357526&amp;z=12&amp;profile=flygbildmedgranser&amp;background=2&amp;boundaries=true","Visa")</f>
        <v>Visa</v>
      </c>
      <c r="H30" s="5" t="s">
        <v>15</v>
      </c>
      <c r="I30" s="8">
        <v>47.703850000000003</v>
      </c>
      <c r="J30" s="9">
        <v>59.17859</v>
      </c>
      <c r="K30" s="9">
        <v>59.17859</v>
      </c>
      <c r="L30" s="14">
        <v>48.614809999999999</v>
      </c>
      <c r="M30" s="9">
        <v>59.17859</v>
      </c>
      <c r="N30" s="9">
        <v>59.17859</v>
      </c>
      <c r="O30" s="14">
        <v>49.703780000000002</v>
      </c>
      <c r="P30" s="9">
        <v>59.17859</v>
      </c>
      <c r="Q30" s="9">
        <v>59.17859</v>
      </c>
      <c r="R30" s="23">
        <v>46.833919999999999</v>
      </c>
      <c r="S30" s="8">
        <v>1.08897</v>
      </c>
      <c r="T30" s="9">
        <v>0</v>
      </c>
      <c r="U30" s="24">
        <v>0</v>
      </c>
    </row>
    <row r="31" spans="1:21" ht="12" customHeight="1" x14ac:dyDescent="0.25">
      <c r="A31" s="5">
        <v>203</v>
      </c>
      <c r="B31" s="19" t="s">
        <v>52</v>
      </c>
      <c r="C31" s="19" t="s">
        <v>7</v>
      </c>
      <c r="D31" s="5" t="s">
        <v>54</v>
      </c>
      <c r="E31" s="6">
        <v>366909.848834</v>
      </c>
      <c r="F31" s="6">
        <v>6548758.6048793998</v>
      </c>
      <c r="G31" s="7" t="str">
        <f>HYPERLINK("https://minkarta.lantmateriet.se/?e=366909,848834&amp;n=6548758,6048794&amp;z=12&amp;profile=flygbildmedgranser&amp;background=2&amp;boundaries=true","Visa")</f>
        <v>Visa</v>
      </c>
      <c r="H31" s="5" t="s">
        <v>8</v>
      </c>
      <c r="I31" s="8">
        <v>35.356630000000003</v>
      </c>
      <c r="J31" s="9">
        <v>38.295670000000001</v>
      </c>
      <c r="K31" s="9">
        <v>40.505119999999998</v>
      </c>
      <c r="L31" s="14">
        <v>36.268050000000002</v>
      </c>
      <c r="M31" s="9">
        <v>38.915909999999997</v>
      </c>
      <c r="N31" s="9">
        <v>41.254559999999998</v>
      </c>
      <c r="O31" s="14">
        <v>37.79166</v>
      </c>
      <c r="P31" s="9">
        <v>37.692169999999997</v>
      </c>
      <c r="Q31" s="9">
        <v>39.761670000000002</v>
      </c>
      <c r="R31" s="23">
        <v>39.765680000000003</v>
      </c>
      <c r="S31" s="8">
        <v>1.5236099999999999</v>
      </c>
      <c r="T31" s="9">
        <v>-1.22374</v>
      </c>
      <c r="U31" s="24">
        <v>-1.4928900000000001</v>
      </c>
    </row>
    <row r="32" spans="1:21" ht="12" customHeight="1" x14ac:dyDescent="0.25">
      <c r="A32" s="5">
        <v>204</v>
      </c>
      <c r="B32" s="19" t="s">
        <v>52</v>
      </c>
      <c r="C32" s="19" t="s">
        <v>7</v>
      </c>
      <c r="D32" s="5" t="s">
        <v>55</v>
      </c>
      <c r="E32" s="6">
        <v>366917.98765455</v>
      </c>
      <c r="F32" s="6">
        <v>6548727.0290366998</v>
      </c>
      <c r="G32" s="7" t="str">
        <f>HYPERLINK("https://minkarta.lantmateriet.se/?e=366917,98765455&amp;n=6548727,0290367&amp;z=12&amp;profile=flygbildmedgranser&amp;background=2&amp;boundaries=true","Visa")</f>
        <v>Visa</v>
      </c>
      <c r="H32" s="5" t="s">
        <v>8</v>
      </c>
      <c r="I32" s="8">
        <v>38.834850000000003</v>
      </c>
      <c r="J32" s="9">
        <v>44.735250000000001</v>
      </c>
      <c r="K32" s="9">
        <v>46.944699999999997</v>
      </c>
      <c r="L32" s="14">
        <v>39.74859</v>
      </c>
      <c r="M32" s="9">
        <v>45.355490000000003</v>
      </c>
      <c r="N32" s="9">
        <v>47.694139999999997</v>
      </c>
      <c r="O32" s="14">
        <v>40.697319999999998</v>
      </c>
      <c r="P32" s="9">
        <v>44.865819999999999</v>
      </c>
      <c r="Q32" s="9">
        <v>46.712969999999999</v>
      </c>
      <c r="R32" s="23">
        <v>41.153190000000002</v>
      </c>
      <c r="S32" s="8">
        <v>0.94872999999999996</v>
      </c>
      <c r="T32" s="9">
        <v>-0.48966999999999999</v>
      </c>
      <c r="U32" s="24">
        <v>-0.98116999999999999</v>
      </c>
    </row>
    <row r="33" spans="1:21" ht="12" customHeight="1" x14ac:dyDescent="0.25">
      <c r="A33" s="5">
        <v>206</v>
      </c>
      <c r="B33" s="19" t="s">
        <v>52</v>
      </c>
      <c r="C33" s="19" t="s">
        <v>7</v>
      </c>
      <c r="D33" s="5" t="s">
        <v>57</v>
      </c>
      <c r="E33" s="6">
        <v>366861.99796302</v>
      </c>
      <c r="F33" s="6">
        <v>6548716.1423234995</v>
      </c>
      <c r="G33" s="7" t="str">
        <f>HYPERLINK("https://minkarta.lantmateriet.se/?e=366861,99796302&amp;n=6548716,1423235&amp;z=12&amp;profile=flygbildmedgranser&amp;background=2&amp;boundaries=true","Visa")</f>
        <v>Visa</v>
      </c>
      <c r="H33" s="5" t="s">
        <v>8</v>
      </c>
      <c r="I33" s="8">
        <v>37.859610000000004</v>
      </c>
      <c r="J33" s="9">
        <v>44.632730000000002</v>
      </c>
      <c r="K33" s="9">
        <v>46.201479999999997</v>
      </c>
      <c r="L33" s="14">
        <v>38.797989999999999</v>
      </c>
      <c r="M33" s="9">
        <v>45.089260000000003</v>
      </c>
      <c r="N33" s="9">
        <v>47.45552</v>
      </c>
      <c r="O33" s="14">
        <v>41.362110000000001</v>
      </c>
      <c r="P33" s="9">
        <v>49.197209999999998</v>
      </c>
      <c r="Q33" s="9">
        <v>49.197209999999998</v>
      </c>
      <c r="R33" s="23">
        <v>46.102939999999997</v>
      </c>
      <c r="S33" s="8">
        <v>2.56412</v>
      </c>
      <c r="T33" s="9">
        <v>4.1079499999999998</v>
      </c>
      <c r="U33" s="24">
        <v>1.74169</v>
      </c>
    </row>
    <row r="34" spans="1:21" ht="12" customHeight="1" x14ac:dyDescent="0.25">
      <c r="A34" s="5">
        <v>209</v>
      </c>
      <c r="B34" s="19" t="s">
        <v>52</v>
      </c>
      <c r="C34" s="19" t="s">
        <v>7</v>
      </c>
      <c r="D34" s="5" t="s">
        <v>61</v>
      </c>
      <c r="E34" s="6">
        <v>366948.49635849998</v>
      </c>
      <c r="F34" s="6">
        <v>6548751.3933971003</v>
      </c>
      <c r="G34" s="7" t="str">
        <f>HYPERLINK("https://minkarta.lantmateriet.se/?e=366948,4963585&amp;n=6548751,3933971&amp;z=12&amp;profile=flygbildmedgranser&amp;background=2&amp;boundaries=true","Visa")</f>
        <v>Visa</v>
      </c>
      <c r="H34" s="5" t="s">
        <v>8</v>
      </c>
      <c r="I34" s="8">
        <v>37.668750000000003</v>
      </c>
      <c r="J34" s="9">
        <v>39.079830000000001</v>
      </c>
      <c r="K34" s="9">
        <v>41.289279999999998</v>
      </c>
      <c r="L34" s="14">
        <v>38.590130000000002</v>
      </c>
      <c r="M34" s="9">
        <v>39.700069999999997</v>
      </c>
      <c r="N34" s="9">
        <v>42.038710000000002</v>
      </c>
      <c r="O34" s="14">
        <v>39.731189999999998</v>
      </c>
      <c r="P34" s="9">
        <v>40.496029999999998</v>
      </c>
      <c r="Q34" s="9">
        <v>42.835909999999998</v>
      </c>
      <c r="R34" s="23">
        <v>40.954549999999998</v>
      </c>
      <c r="S34" s="8">
        <v>1.14106</v>
      </c>
      <c r="T34" s="9">
        <v>0.79596</v>
      </c>
      <c r="U34" s="24">
        <v>0.79720000000000002</v>
      </c>
    </row>
    <row r="35" spans="1:21" ht="12" customHeight="1" x14ac:dyDescent="0.25">
      <c r="A35" s="5">
        <v>210</v>
      </c>
      <c r="B35" s="19" t="s">
        <v>52</v>
      </c>
      <c r="C35" s="19" t="s">
        <v>7</v>
      </c>
      <c r="D35" s="5" t="s">
        <v>58</v>
      </c>
      <c r="E35" s="6">
        <v>366964.92019426997</v>
      </c>
      <c r="F35" s="6">
        <v>6548816.0049317004</v>
      </c>
      <c r="G35" s="7" t="str">
        <f>HYPERLINK("https://minkarta.lantmateriet.se/?e=366964,92019427&amp;n=6548816,0049317&amp;z=12&amp;profile=flygbildmedgranser&amp;background=2&amp;boundaries=true","Visa")</f>
        <v>Visa</v>
      </c>
      <c r="H35" s="5" t="s">
        <v>9</v>
      </c>
      <c r="I35" s="8">
        <v>40.822139999999997</v>
      </c>
      <c r="J35" s="9">
        <v>51.425330000000002</v>
      </c>
      <c r="K35" s="9">
        <v>52.994079999999997</v>
      </c>
      <c r="L35" s="14">
        <v>41.740549999999999</v>
      </c>
      <c r="M35" s="9">
        <v>51.881860000000003</v>
      </c>
      <c r="N35" s="9">
        <v>53.499580000000002</v>
      </c>
      <c r="O35" s="14">
        <v>41.852739999999997</v>
      </c>
      <c r="P35" s="9">
        <v>51.912939999999999</v>
      </c>
      <c r="Q35" s="9">
        <v>53.529179999999997</v>
      </c>
      <c r="R35" s="23">
        <v>23.866589999999999</v>
      </c>
      <c r="S35" s="8">
        <v>0.11219</v>
      </c>
      <c r="T35" s="9">
        <v>3.108E-2</v>
      </c>
      <c r="U35" s="24">
        <v>2.9600000000000001E-2</v>
      </c>
    </row>
    <row r="36" spans="1:21" ht="12" customHeight="1" x14ac:dyDescent="0.25">
      <c r="A36" s="5">
        <v>212</v>
      </c>
      <c r="B36" s="19" t="s">
        <v>52</v>
      </c>
      <c r="C36" s="19" t="s">
        <v>7</v>
      </c>
      <c r="D36" s="5" t="s">
        <v>59</v>
      </c>
      <c r="E36" s="6">
        <v>367037.12105279998</v>
      </c>
      <c r="F36" s="6">
        <v>6548838.2933192998</v>
      </c>
      <c r="G36" s="7" t="str">
        <f>HYPERLINK("https://minkarta.lantmateriet.se/?e=367037,1210528&amp;n=6548838,2933193&amp;z=12&amp;profile=flygbildmedgranser&amp;background=2&amp;boundaries=true","Visa")</f>
        <v>Visa</v>
      </c>
      <c r="H36" s="5" t="s">
        <v>9</v>
      </c>
      <c r="I36" s="8">
        <v>37.200470000000003</v>
      </c>
      <c r="J36" s="9">
        <v>45.212139999999998</v>
      </c>
      <c r="K36" s="9">
        <v>46.780880000000003</v>
      </c>
      <c r="L36" s="14">
        <v>38.117609999999999</v>
      </c>
      <c r="M36" s="9">
        <v>45.668660000000003</v>
      </c>
      <c r="N36" s="9">
        <v>47.286380000000001</v>
      </c>
      <c r="O36" s="14">
        <v>38.324069999999999</v>
      </c>
      <c r="P36" s="9">
        <v>45.699750000000002</v>
      </c>
      <c r="Q36" s="9">
        <v>47.315989999999999</v>
      </c>
      <c r="R36" s="23">
        <v>28.426359999999999</v>
      </c>
      <c r="S36" s="8">
        <v>0.20646</v>
      </c>
      <c r="T36" s="9">
        <v>3.109E-2</v>
      </c>
      <c r="U36" s="24">
        <v>2.9610000000000001E-2</v>
      </c>
    </row>
    <row r="37" spans="1:21" ht="12" customHeight="1" x14ac:dyDescent="0.25">
      <c r="A37" s="5">
        <v>218</v>
      </c>
      <c r="B37" s="19" t="s">
        <v>52</v>
      </c>
      <c r="C37" s="19" t="s">
        <v>7</v>
      </c>
      <c r="D37" s="5" t="s">
        <v>53</v>
      </c>
      <c r="E37" s="6">
        <v>366998.62968806998</v>
      </c>
      <c r="F37" s="6">
        <v>6548845.9165602997</v>
      </c>
      <c r="G37" s="7" t="str">
        <f>HYPERLINK("https://minkarta.lantmateriet.se/?e=366998,62968807&amp;n=6548845,9165603&amp;z=12&amp;profile=flygbildmedgranser&amp;background=2&amp;boundaries=true","Visa")</f>
        <v>Visa</v>
      </c>
      <c r="H37" s="5" t="s">
        <v>10</v>
      </c>
      <c r="I37" s="8">
        <v>44.916139999999999</v>
      </c>
      <c r="J37" s="9">
        <v>53.323500000000003</v>
      </c>
      <c r="K37" s="9">
        <v>54.892249999999997</v>
      </c>
      <c r="L37" s="14">
        <v>45.82996</v>
      </c>
      <c r="M37" s="9">
        <v>53.780029999999996</v>
      </c>
      <c r="N37" s="9">
        <v>55.397750000000002</v>
      </c>
      <c r="O37" s="14">
        <v>45.927230000000002</v>
      </c>
      <c r="P37" s="9">
        <v>53.811109999999999</v>
      </c>
      <c r="Q37" s="9">
        <v>55.427349999999997</v>
      </c>
      <c r="R37" s="23">
        <v>24.62753</v>
      </c>
      <c r="S37" s="8">
        <v>9.7269999999999995E-2</v>
      </c>
      <c r="T37" s="9">
        <v>3.108E-2</v>
      </c>
      <c r="U37" s="24">
        <v>2.9600000000000001E-2</v>
      </c>
    </row>
    <row r="38" spans="1:21" ht="12" customHeight="1" x14ac:dyDescent="0.25">
      <c r="A38" s="5">
        <v>220</v>
      </c>
      <c r="B38" s="19" t="s">
        <v>52</v>
      </c>
      <c r="C38" s="19" t="s">
        <v>7</v>
      </c>
      <c r="D38" s="5" t="s">
        <v>54</v>
      </c>
      <c r="E38" s="6">
        <v>366915.36712140997</v>
      </c>
      <c r="F38" s="6">
        <v>6548764.3773379996</v>
      </c>
      <c r="G38" s="7" t="str">
        <f>HYPERLINK("https://minkarta.lantmateriet.se/?e=366915,36712141&amp;n=6548764,377338&amp;z=12&amp;profile=flygbildmedgranser&amp;background=2&amp;boundaries=true","Visa")</f>
        <v>Visa</v>
      </c>
      <c r="H38" s="5" t="s">
        <v>9</v>
      </c>
      <c r="I38" s="8">
        <v>32.66357</v>
      </c>
      <c r="J38" s="9">
        <v>33.242910000000002</v>
      </c>
      <c r="K38" s="9">
        <v>34.811660000000003</v>
      </c>
      <c r="L38" s="14">
        <v>33.57855</v>
      </c>
      <c r="M38" s="9">
        <v>33.699440000000003</v>
      </c>
      <c r="N38" s="9">
        <v>35.317160000000001</v>
      </c>
      <c r="O38" s="14">
        <v>33.897840000000002</v>
      </c>
      <c r="P38" s="9">
        <v>33.758389999999999</v>
      </c>
      <c r="Q38" s="9">
        <v>35.374630000000003</v>
      </c>
      <c r="R38" s="23">
        <v>26.52787</v>
      </c>
      <c r="S38" s="8">
        <v>0.31929000000000002</v>
      </c>
      <c r="T38" s="9">
        <v>5.8950000000000002E-2</v>
      </c>
      <c r="U38" s="24">
        <v>5.747E-2</v>
      </c>
    </row>
    <row r="39" spans="1:21" ht="12" customHeight="1" x14ac:dyDescent="0.25">
      <c r="A39" s="5">
        <v>223</v>
      </c>
      <c r="B39" s="19" t="s">
        <v>52</v>
      </c>
      <c r="C39" s="19" t="s">
        <v>7</v>
      </c>
      <c r="D39" s="5" t="s">
        <v>58</v>
      </c>
      <c r="E39" s="6">
        <v>366950.37107157003</v>
      </c>
      <c r="F39" s="6">
        <v>6548808.4121955996</v>
      </c>
      <c r="G39" s="7" t="str">
        <f>HYPERLINK("https://minkarta.lantmateriet.se/?e=366950,37107157&amp;n=6548808,4121956&amp;z=12&amp;profile=flygbildmedgranser&amp;background=2&amp;boundaries=true","Visa")</f>
        <v>Visa</v>
      </c>
      <c r="H39" s="5" t="s">
        <v>10</v>
      </c>
      <c r="I39" s="8">
        <v>43.938690000000001</v>
      </c>
      <c r="J39" s="9">
        <v>50.275129999999997</v>
      </c>
      <c r="K39" s="9">
        <v>51.843879999999999</v>
      </c>
      <c r="L39" s="14">
        <v>44.846589999999999</v>
      </c>
      <c r="M39" s="9">
        <v>50.731659999999998</v>
      </c>
      <c r="N39" s="9">
        <v>52.349379999999996</v>
      </c>
      <c r="O39" s="14">
        <v>44.957859999999997</v>
      </c>
      <c r="P39" s="9">
        <v>50.762740000000001</v>
      </c>
      <c r="Q39" s="9">
        <v>52.378979999999999</v>
      </c>
      <c r="R39" s="23">
        <v>28.44669</v>
      </c>
      <c r="S39" s="8">
        <v>0.11126999999999999</v>
      </c>
      <c r="T39" s="9">
        <v>3.108E-2</v>
      </c>
      <c r="U39" s="24">
        <v>2.9600000000000001E-2</v>
      </c>
    </row>
    <row r="40" spans="1:21" ht="12" customHeight="1" x14ac:dyDescent="0.25">
      <c r="A40" s="5">
        <v>224</v>
      </c>
      <c r="B40" s="19" t="s">
        <v>52</v>
      </c>
      <c r="C40" s="19" t="s">
        <v>7</v>
      </c>
      <c r="D40" s="5" t="s">
        <v>55</v>
      </c>
      <c r="E40" s="6">
        <v>366925.68839529</v>
      </c>
      <c r="F40" s="6">
        <v>6548741.5042343</v>
      </c>
      <c r="G40" s="7" t="str">
        <f>HYPERLINK("https://minkarta.lantmateriet.se/?e=366925,68839529&amp;n=6548741,5042343&amp;z=12&amp;profile=flygbildmedgranser&amp;background=2&amp;boundaries=true","Visa")</f>
        <v>Visa</v>
      </c>
      <c r="H40" s="5" t="s">
        <v>9</v>
      </c>
      <c r="I40" s="8">
        <v>40.376739999999998</v>
      </c>
      <c r="J40" s="9">
        <v>44.237789999999997</v>
      </c>
      <c r="K40" s="9">
        <v>45.806530000000002</v>
      </c>
      <c r="L40" s="14">
        <v>41.286380000000001</v>
      </c>
      <c r="M40" s="9">
        <v>44.694310000000002</v>
      </c>
      <c r="N40" s="9">
        <v>46.31203</v>
      </c>
      <c r="O40" s="14">
        <v>41.689869999999999</v>
      </c>
      <c r="P40" s="9">
        <v>44.7254</v>
      </c>
      <c r="Q40" s="9">
        <v>46.341639999999998</v>
      </c>
      <c r="R40" s="23">
        <v>36.5794</v>
      </c>
      <c r="S40" s="8">
        <v>0.40349000000000002</v>
      </c>
      <c r="T40" s="9">
        <v>3.109E-2</v>
      </c>
      <c r="U40" s="24">
        <v>2.9610000000000001E-2</v>
      </c>
    </row>
    <row r="41" spans="1:21" ht="12" customHeight="1" x14ac:dyDescent="0.25">
      <c r="A41" s="5">
        <v>225</v>
      </c>
      <c r="B41" s="19" t="s">
        <v>52</v>
      </c>
      <c r="C41" s="19" t="s">
        <v>7</v>
      </c>
      <c r="D41" s="5" t="s">
        <v>59</v>
      </c>
      <c r="E41" s="6">
        <v>367023.79768351</v>
      </c>
      <c r="F41" s="6">
        <v>6548828.7550534997</v>
      </c>
      <c r="G41" s="7" t="str">
        <f>HYPERLINK("https://minkarta.lantmateriet.se/?e=367023,79768351&amp;n=6548828,7550535&amp;z=12&amp;profile=flygbildmedgranser&amp;background=2&amp;boundaries=true","Visa")</f>
        <v>Visa</v>
      </c>
      <c r="H41" s="5" t="s">
        <v>10</v>
      </c>
      <c r="I41" s="8">
        <v>37.672780000000003</v>
      </c>
      <c r="J41" s="9">
        <v>41.499560000000002</v>
      </c>
      <c r="K41" s="9">
        <v>43.068309999999997</v>
      </c>
      <c r="L41" s="14">
        <v>38.581620000000001</v>
      </c>
      <c r="M41" s="9">
        <v>41.956090000000003</v>
      </c>
      <c r="N41" s="9">
        <v>43.573810000000002</v>
      </c>
      <c r="O41" s="14">
        <v>39.186030000000002</v>
      </c>
      <c r="P41" s="9">
        <v>41.987169999999999</v>
      </c>
      <c r="Q41" s="9">
        <v>43.603409999999997</v>
      </c>
      <c r="R41" s="23">
        <v>37.396430000000002</v>
      </c>
      <c r="S41" s="8">
        <v>0.60441</v>
      </c>
      <c r="T41" s="9">
        <v>3.108E-2</v>
      </c>
      <c r="U41" s="24">
        <v>2.9600000000000001E-2</v>
      </c>
    </row>
    <row r="42" spans="1:21" ht="12" customHeight="1" x14ac:dyDescent="0.25">
      <c r="A42" s="5">
        <v>229</v>
      </c>
      <c r="B42" s="19" t="s">
        <v>52</v>
      </c>
      <c r="C42" s="19" t="s">
        <v>7</v>
      </c>
      <c r="D42" s="5" t="s">
        <v>56</v>
      </c>
      <c r="E42" s="6">
        <v>367037.10318065999</v>
      </c>
      <c r="F42" s="6">
        <v>6548859.3820492001</v>
      </c>
      <c r="G42" s="7" t="str">
        <f>HYPERLINK("https://minkarta.lantmateriet.se/?e=367037,10318066&amp;n=6548859,3820492&amp;z=12&amp;profile=flygbildmedgranser&amp;background=2&amp;boundaries=true","Visa")</f>
        <v>Visa</v>
      </c>
      <c r="H42" s="5" t="s">
        <v>10</v>
      </c>
      <c r="I42" s="8">
        <v>36.810630000000003</v>
      </c>
      <c r="J42" s="9">
        <v>40.255769999999998</v>
      </c>
      <c r="K42" s="9">
        <v>41.82452</v>
      </c>
      <c r="L42" s="14">
        <v>37.729660000000003</v>
      </c>
      <c r="M42" s="9">
        <v>40.712299999999999</v>
      </c>
      <c r="N42" s="9">
        <v>42.330019999999998</v>
      </c>
      <c r="O42" s="14">
        <v>38.214350000000003</v>
      </c>
      <c r="P42" s="9">
        <v>40.743380000000002</v>
      </c>
      <c r="Q42" s="9">
        <v>42.35962</v>
      </c>
      <c r="R42" s="23">
        <v>35.512810000000002</v>
      </c>
      <c r="S42" s="8">
        <v>0.48469000000000001</v>
      </c>
      <c r="T42" s="9">
        <v>3.108E-2</v>
      </c>
      <c r="U42" s="24">
        <v>2.9600000000000001E-2</v>
      </c>
    </row>
    <row r="43" spans="1:21" ht="12" customHeight="1" x14ac:dyDescent="0.25">
      <c r="A43" s="5">
        <v>230</v>
      </c>
      <c r="B43" s="19" t="s">
        <v>52</v>
      </c>
      <c r="C43" s="19" t="s">
        <v>7</v>
      </c>
      <c r="D43" s="5" t="s">
        <v>60</v>
      </c>
      <c r="E43" s="6">
        <v>366839.36925001</v>
      </c>
      <c r="F43" s="6">
        <v>6548667.0226999</v>
      </c>
      <c r="G43" s="7" t="str">
        <f>HYPERLINK("https://minkarta.lantmateriet.se/?e=366839,36925001&amp;n=6548667,0226999&amp;z=12&amp;profile=flygbildmedgranser&amp;background=2&amp;boundaries=true","Visa")</f>
        <v>Visa</v>
      </c>
      <c r="H43" s="5" t="s">
        <v>13</v>
      </c>
      <c r="I43" s="8">
        <v>40.889949999999999</v>
      </c>
      <c r="J43" s="9">
        <v>53.374780000000001</v>
      </c>
      <c r="K43" s="9">
        <v>54.828749999999999</v>
      </c>
      <c r="L43" s="14">
        <v>41.850259999999999</v>
      </c>
      <c r="M43" s="9">
        <v>53.874279999999999</v>
      </c>
      <c r="N43" s="9">
        <v>57.344940000000001</v>
      </c>
      <c r="O43" s="14">
        <v>43.93609</v>
      </c>
      <c r="P43" s="9">
        <v>54.86645</v>
      </c>
      <c r="Q43" s="9">
        <v>57.721020000000003</v>
      </c>
      <c r="R43" s="23">
        <v>45.9101</v>
      </c>
      <c r="S43" s="8">
        <v>2.0858300000000001</v>
      </c>
      <c r="T43" s="9">
        <v>0.99217</v>
      </c>
      <c r="U43" s="24">
        <v>0.37608000000000003</v>
      </c>
    </row>
    <row r="44" spans="1:21" ht="12" customHeight="1" x14ac:dyDescent="0.25">
      <c r="A44" s="5">
        <v>231</v>
      </c>
      <c r="B44" s="19" t="s">
        <v>52</v>
      </c>
      <c r="C44" s="19" t="s">
        <v>7</v>
      </c>
      <c r="D44" s="5" t="s">
        <v>57</v>
      </c>
      <c r="E44" s="6">
        <v>366866.62524840003</v>
      </c>
      <c r="F44" s="6">
        <v>6548722.7888922002</v>
      </c>
      <c r="G44" s="7" t="str">
        <f>HYPERLINK("https://minkarta.lantmateriet.se/?e=366866,6252484&amp;n=6548722,7888922&amp;z=12&amp;profile=flygbildmedgranser&amp;background=2&amp;boundaries=true","Visa")</f>
        <v>Visa</v>
      </c>
      <c r="H44" s="5" t="s">
        <v>9</v>
      </c>
      <c r="I44" s="8">
        <v>34.487099999999998</v>
      </c>
      <c r="J44" s="9">
        <v>35.870190000000001</v>
      </c>
      <c r="K44" s="9">
        <v>37.438929999999999</v>
      </c>
      <c r="L44" s="14">
        <v>35.401730000000001</v>
      </c>
      <c r="M44" s="9">
        <v>36.326709999999999</v>
      </c>
      <c r="N44" s="9">
        <v>37.94444</v>
      </c>
      <c r="O44" s="14">
        <v>35.692729999999997</v>
      </c>
      <c r="P44" s="9">
        <v>36.357799999999997</v>
      </c>
      <c r="Q44" s="9">
        <v>37.974040000000002</v>
      </c>
      <c r="R44" s="23">
        <v>30.070250000000001</v>
      </c>
      <c r="S44" s="8">
        <v>0.29099999999999998</v>
      </c>
      <c r="T44" s="9">
        <v>3.109E-2</v>
      </c>
      <c r="U44" s="24">
        <v>2.9600000000000001E-2</v>
      </c>
    </row>
    <row r="45" spans="1:21" ht="12" customHeight="1" x14ac:dyDescent="0.25">
      <c r="A45" s="5">
        <v>232</v>
      </c>
      <c r="B45" s="19" t="s">
        <v>52</v>
      </c>
      <c r="C45" s="19" t="s">
        <v>7</v>
      </c>
      <c r="D45" s="5" t="s">
        <v>61</v>
      </c>
      <c r="E45" s="6">
        <v>366961.49588390999</v>
      </c>
      <c r="F45" s="6">
        <v>6548758.9226614004</v>
      </c>
      <c r="G45" s="7" t="str">
        <f>HYPERLINK("https://minkarta.lantmateriet.se/?e=366961,49588391&amp;n=6548758,9226614&amp;z=12&amp;profile=flygbildmedgranser&amp;background=2&amp;boundaries=true","Visa")</f>
        <v>Visa</v>
      </c>
      <c r="H45" s="5" t="s">
        <v>11</v>
      </c>
      <c r="I45" s="8">
        <v>39.372509999999998</v>
      </c>
      <c r="J45" s="9">
        <v>41.45487</v>
      </c>
      <c r="K45" s="9">
        <v>43.664319999999996</v>
      </c>
      <c r="L45" s="14">
        <v>40.29533</v>
      </c>
      <c r="M45" s="9">
        <v>42.075110000000002</v>
      </c>
      <c r="N45" s="9">
        <v>44.41375</v>
      </c>
      <c r="O45" s="14">
        <v>41.441929999999999</v>
      </c>
      <c r="P45" s="9">
        <v>42.116709999999998</v>
      </c>
      <c r="Q45" s="9">
        <v>44.456600000000002</v>
      </c>
      <c r="R45" s="23">
        <v>42.711779999999997</v>
      </c>
      <c r="S45" s="8">
        <v>1.1466000000000001</v>
      </c>
      <c r="T45" s="9">
        <v>4.1599999999999998E-2</v>
      </c>
      <c r="U45" s="24">
        <v>4.2849999999999999E-2</v>
      </c>
    </row>
    <row r="46" spans="1:21" ht="12" customHeight="1" x14ac:dyDescent="0.25">
      <c r="A46" s="5">
        <v>234</v>
      </c>
      <c r="B46" s="19" t="s">
        <v>52</v>
      </c>
      <c r="C46" s="19" t="s">
        <v>7</v>
      </c>
      <c r="D46" s="5" t="s">
        <v>53</v>
      </c>
      <c r="E46" s="6">
        <v>366989.03106110002</v>
      </c>
      <c r="F46" s="6">
        <v>6548834.2368138004</v>
      </c>
      <c r="G46" s="7" t="str">
        <f>HYPERLINK("https://minkarta.lantmateriet.se/?e=366989,0310611&amp;n=6548834,2368138&amp;z=12&amp;profile=flygbildmedgranser&amp;background=2&amp;boundaries=true","Visa")</f>
        <v>Visa</v>
      </c>
      <c r="H46" s="5" t="s">
        <v>9</v>
      </c>
      <c r="I46" s="8">
        <v>45.703620000000001</v>
      </c>
      <c r="J46" s="9">
        <v>56.176250000000003</v>
      </c>
      <c r="K46" s="9">
        <v>57.744999999999997</v>
      </c>
      <c r="L46" s="14">
        <v>46.625210000000003</v>
      </c>
      <c r="M46" s="9">
        <v>56.632779999999997</v>
      </c>
      <c r="N46" s="9">
        <v>58.250500000000002</v>
      </c>
      <c r="O46" s="14">
        <v>46.719050000000003</v>
      </c>
      <c r="P46" s="9">
        <v>56.66386</v>
      </c>
      <c r="Q46" s="9">
        <v>58.280110000000001</v>
      </c>
      <c r="R46" s="23">
        <v>27.92661</v>
      </c>
      <c r="S46" s="8">
        <v>9.3840000000000007E-2</v>
      </c>
      <c r="T46" s="9">
        <v>3.108E-2</v>
      </c>
      <c r="U46" s="24">
        <v>2.9610000000000001E-2</v>
      </c>
    </row>
    <row r="47" spans="1:21" ht="12" customHeight="1" x14ac:dyDescent="0.25">
      <c r="A47" s="5">
        <v>235</v>
      </c>
      <c r="B47" s="19" t="s">
        <v>52</v>
      </c>
      <c r="C47" s="19" t="s">
        <v>7</v>
      </c>
      <c r="D47" s="5" t="s">
        <v>62</v>
      </c>
      <c r="E47" s="6">
        <v>367022.22117100999</v>
      </c>
      <c r="F47" s="6">
        <v>6548875.9810346998</v>
      </c>
      <c r="G47" s="7" t="str">
        <f>HYPERLINK("https://minkarta.lantmateriet.se/?e=367022,22117101&amp;n=6548875,9810347&amp;z=12&amp;profile=flygbildmedgranser&amp;background=2&amp;boundaries=true","Visa")</f>
        <v>Visa</v>
      </c>
      <c r="H47" s="5" t="s">
        <v>10</v>
      </c>
      <c r="I47" s="8">
        <v>43.444789999999998</v>
      </c>
      <c r="J47" s="9">
        <v>52.549430000000001</v>
      </c>
      <c r="K47" s="9">
        <v>54.118180000000002</v>
      </c>
      <c r="L47" s="14">
        <v>44.35501</v>
      </c>
      <c r="M47" s="9">
        <v>53.005960000000002</v>
      </c>
      <c r="N47" s="9">
        <v>54.62368</v>
      </c>
      <c r="O47" s="14">
        <v>44.46425</v>
      </c>
      <c r="P47" s="9">
        <v>53.037039999999998</v>
      </c>
      <c r="Q47" s="9">
        <v>54.653289999999998</v>
      </c>
      <c r="R47" s="23">
        <v>30.022310000000001</v>
      </c>
      <c r="S47" s="8">
        <v>0.10924</v>
      </c>
      <c r="T47" s="9">
        <v>3.108E-2</v>
      </c>
      <c r="U47" s="24">
        <v>2.9610000000000001E-2</v>
      </c>
    </row>
    <row r="48" spans="1:21" ht="12" customHeight="1" x14ac:dyDescent="0.25">
      <c r="A48" s="5">
        <v>238</v>
      </c>
      <c r="B48" s="19" t="s">
        <v>52</v>
      </c>
      <c r="C48" s="19" t="s">
        <v>7</v>
      </c>
      <c r="D48" s="5" t="s">
        <v>62</v>
      </c>
      <c r="E48" s="6">
        <v>367018.75396960002</v>
      </c>
      <c r="F48" s="6">
        <v>6548862.0461710999</v>
      </c>
      <c r="G48" s="7" t="str">
        <f>HYPERLINK("https://minkarta.lantmateriet.se/?e=367018,7539696&amp;n=6548862,0461711&amp;z=12&amp;profile=flygbildmedgranser&amp;background=2&amp;boundaries=true","Visa")</f>
        <v>Visa</v>
      </c>
      <c r="H48" s="5" t="s">
        <v>11</v>
      </c>
      <c r="I48" s="8">
        <v>42.99033</v>
      </c>
      <c r="J48" s="9">
        <v>48.95628</v>
      </c>
      <c r="K48" s="9">
        <v>50.525030000000001</v>
      </c>
      <c r="L48" s="14">
        <v>43.895809999999997</v>
      </c>
      <c r="M48" s="9">
        <v>49.41281</v>
      </c>
      <c r="N48" s="9">
        <v>51.030529999999999</v>
      </c>
      <c r="O48" s="14">
        <v>44.018250000000002</v>
      </c>
      <c r="P48" s="9">
        <v>49.443890000000003</v>
      </c>
      <c r="Q48" s="9">
        <v>51.060130000000001</v>
      </c>
      <c r="R48" s="23">
        <v>30.373069999999998</v>
      </c>
      <c r="S48" s="8">
        <v>0.12243999999999999</v>
      </c>
      <c r="T48" s="9">
        <v>3.108E-2</v>
      </c>
      <c r="U48" s="24">
        <v>2.9600000000000001E-2</v>
      </c>
    </row>
    <row r="49" spans="1:21" ht="12" customHeight="1" x14ac:dyDescent="0.25">
      <c r="A49" s="5">
        <v>239</v>
      </c>
      <c r="B49" s="19" t="s">
        <v>52</v>
      </c>
      <c r="C49" s="19" t="s">
        <v>7</v>
      </c>
      <c r="D49" s="5" t="s">
        <v>57</v>
      </c>
      <c r="E49" s="6">
        <v>366876.35544854001</v>
      </c>
      <c r="F49" s="6">
        <v>6548734.3148095002</v>
      </c>
      <c r="G49" s="7" t="str">
        <f>HYPERLINK("https://minkarta.lantmateriet.se/?e=366876,35544854&amp;n=6548734,3148095&amp;z=12&amp;profile=flygbildmedgranser&amp;background=2&amp;boundaries=true","Visa")</f>
        <v>Visa</v>
      </c>
      <c r="H49" s="5" t="s">
        <v>8</v>
      </c>
      <c r="I49" s="8">
        <v>36.355820000000001</v>
      </c>
      <c r="J49" s="9">
        <v>39.98021</v>
      </c>
      <c r="K49" s="9">
        <v>42.034739999999999</v>
      </c>
      <c r="L49" s="14">
        <v>37.28257</v>
      </c>
      <c r="M49" s="9">
        <v>40.479709999999997</v>
      </c>
      <c r="N49" s="9">
        <v>43.950360000000003</v>
      </c>
      <c r="O49" s="14">
        <v>39.212739999999997</v>
      </c>
      <c r="P49" s="9">
        <v>41.46452</v>
      </c>
      <c r="Q49" s="9">
        <v>44.319099999999999</v>
      </c>
      <c r="R49" s="23">
        <v>42.293059999999997</v>
      </c>
      <c r="S49" s="8">
        <v>1.9301699999999999</v>
      </c>
      <c r="T49" s="9">
        <v>0.98480999999999996</v>
      </c>
      <c r="U49" s="24">
        <v>0.36874000000000001</v>
      </c>
    </row>
    <row r="50" spans="1:21" ht="12" customHeight="1" x14ac:dyDescent="0.25">
      <c r="A50" s="5">
        <v>241</v>
      </c>
      <c r="B50" s="19" t="s">
        <v>52</v>
      </c>
      <c r="C50" s="19" t="s">
        <v>7</v>
      </c>
      <c r="D50" s="5" t="s">
        <v>56</v>
      </c>
      <c r="E50" s="6">
        <v>367045.69045434002</v>
      </c>
      <c r="F50" s="6">
        <v>6548847.8426812999</v>
      </c>
      <c r="G50" s="7" t="str">
        <f>HYPERLINK("https://minkarta.lantmateriet.se/?e=367045,69045434&amp;n=6548847,8426813&amp;z=12&amp;profile=flygbildmedgranser&amp;background=2&amp;boundaries=true","Visa")</f>
        <v>Visa</v>
      </c>
      <c r="H50" s="5" t="s">
        <v>11</v>
      </c>
      <c r="I50" s="8">
        <v>40.399059999999999</v>
      </c>
      <c r="J50" s="9">
        <v>51.129010000000001</v>
      </c>
      <c r="K50" s="9">
        <v>52.697749999999999</v>
      </c>
      <c r="L50" s="14">
        <v>41.30753</v>
      </c>
      <c r="M50" s="9">
        <v>51.585529999999999</v>
      </c>
      <c r="N50" s="9">
        <v>53.203249999999997</v>
      </c>
      <c r="O50" s="14">
        <v>41.457970000000003</v>
      </c>
      <c r="P50" s="9">
        <v>51.616619999999998</v>
      </c>
      <c r="Q50" s="9">
        <v>53.232860000000002</v>
      </c>
      <c r="R50" s="23">
        <v>28.50478</v>
      </c>
      <c r="S50" s="8">
        <v>0.15043999999999999</v>
      </c>
      <c r="T50" s="9">
        <v>3.109E-2</v>
      </c>
      <c r="U50" s="24">
        <v>2.9610000000000001E-2</v>
      </c>
    </row>
    <row r="51" spans="1:21" ht="12" customHeight="1" x14ac:dyDescent="0.25">
      <c r="A51" s="5">
        <v>242</v>
      </c>
      <c r="B51" s="19" t="s">
        <v>52</v>
      </c>
      <c r="C51" s="19" t="s">
        <v>7</v>
      </c>
      <c r="D51" s="5" t="s">
        <v>60</v>
      </c>
      <c r="E51" s="6">
        <v>366840.98080577003</v>
      </c>
      <c r="F51" s="6">
        <v>6548674.8542499002</v>
      </c>
      <c r="G51" s="7" t="str">
        <f>HYPERLINK("https://minkarta.lantmateriet.se/?e=366840,98080577&amp;n=6548674,8542499&amp;z=12&amp;profile=flygbildmedgranser&amp;background=2&amp;boundaries=true","Visa")</f>
        <v>Visa</v>
      </c>
      <c r="H51" s="5" t="s">
        <v>14</v>
      </c>
      <c r="I51" s="8">
        <v>33.329560000000001</v>
      </c>
      <c r="J51" s="9">
        <v>40.310720000000003</v>
      </c>
      <c r="K51" s="9">
        <v>41.879469999999998</v>
      </c>
      <c r="L51" s="14">
        <v>34.240389999999998</v>
      </c>
      <c r="M51" s="9">
        <v>40.767249999999997</v>
      </c>
      <c r="N51" s="9">
        <v>42.384970000000003</v>
      </c>
      <c r="O51" s="14">
        <v>34.572270000000003</v>
      </c>
      <c r="P51" s="9">
        <v>40.79833</v>
      </c>
      <c r="Q51" s="9">
        <v>42.414569999999998</v>
      </c>
      <c r="R51" s="23">
        <v>29.68422</v>
      </c>
      <c r="S51" s="8">
        <v>0.33188000000000001</v>
      </c>
      <c r="T51" s="9">
        <v>3.108E-2</v>
      </c>
      <c r="U51" s="24">
        <v>2.9600000000000001E-2</v>
      </c>
    </row>
    <row r="52" spans="1:21" ht="12" customHeight="1" x14ac:dyDescent="0.25">
      <c r="A52" s="5">
        <v>243</v>
      </c>
      <c r="B52" s="19" t="s">
        <v>52</v>
      </c>
      <c r="C52" s="19" t="s">
        <v>7</v>
      </c>
      <c r="D52" s="5" t="s">
        <v>53</v>
      </c>
      <c r="E52" s="6">
        <v>366983.40968834999</v>
      </c>
      <c r="F52" s="6">
        <v>6548828.5420607999</v>
      </c>
      <c r="G52" s="7" t="str">
        <f>HYPERLINK("https://minkarta.lantmateriet.se/?e=366983,40968835&amp;n=6548828,5420608&amp;z=12&amp;profile=flygbildmedgranser&amp;background=2&amp;boundaries=true","Visa")</f>
        <v>Visa</v>
      </c>
      <c r="H52" s="5" t="s">
        <v>10</v>
      </c>
      <c r="I52" s="8">
        <v>44.929279999999999</v>
      </c>
      <c r="J52" s="9">
        <v>53.32714</v>
      </c>
      <c r="K52" s="9">
        <v>54.895890000000001</v>
      </c>
      <c r="L52" s="14">
        <v>45.841520000000003</v>
      </c>
      <c r="M52" s="9">
        <v>53.783670000000001</v>
      </c>
      <c r="N52" s="9">
        <v>55.401389999999999</v>
      </c>
      <c r="O52" s="14">
        <v>45.952480000000001</v>
      </c>
      <c r="P52" s="9">
        <v>53.814749999999997</v>
      </c>
      <c r="Q52" s="9">
        <v>55.430999999999997</v>
      </c>
      <c r="R52" s="23">
        <v>32.72907</v>
      </c>
      <c r="S52" s="8">
        <v>0.11096</v>
      </c>
      <c r="T52" s="9">
        <v>3.108E-2</v>
      </c>
      <c r="U52" s="24">
        <v>2.9610000000000001E-2</v>
      </c>
    </row>
    <row r="53" spans="1:21" ht="12" customHeight="1" x14ac:dyDescent="0.25">
      <c r="A53" s="5">
        <v>244</v>
      </c>
      <c r="B53" s="19" t="s">
        <v>52</v>
      </c>
      <c r="C53" s="19" t="s">
        <v>7</v>
      </c>
      <c r="D53" s="5" t="s">
        <v>59</v>
      </c>
      <c r="E53" s="6">
        <v>367020.10044960002</v>
      </c>
      <c r="F53" s="6">
        <v>6548812.7916844003</v>
      </c>
      <c r="G53" s="7" t="str">
        <f>HYPERLINK("https://minkarta.lantmateriet.se/?e=367020,1004496&amp;n=6548812,7916844&amp;z=12&amp;profile=flygbildmedgranser&amp;background=2&amp;boundaries=true","Visa")</f>
        <v>Visa</v>
      </c>
      <c r="H53" s="5" t="s">
        <v>11</v>
      </c>
      <c r="I53" s="8">
        <v>38.896479999999997</v>
      </c>
      <c r="J53" s="9">
        <v>41.900880000000001</v>
      </c>
      <c r="K53" s="9">
        <v>43.469630000000002</v>
      </c>
      <c r="L53" s="14">
        <v>39.805390000000003</v>
      </c>
      <c r="M53" s="9">
        <v>42.357410000000002</v>
      </c>
      <c r="N53" s="9">
        <v>43.97513</v>
      </c>
      <c r="O53" s="14">
        <v>40.237850000000002</v>
      </c>
      <c r="P53" s="9">
        <v>42.388489999999997</v>
      </c>
      <c r="Q53" s="9">
        <v>44.004730000000002</v>
      </c>
      <c r="R53" s="23">
        <v>38.260809999999999</v>
      </c>
      <c r="S53" s="8">
        <v>0.43246000000000001</v>
      </c>
      <c r="T53" s="9">
        <v>3.108E-2</v>
      </c>
      <c r="U53" s="24">
        <v>2.9600000000000001E-2</v>
      </c>
    </row>
    <row r="54" spans="1:21" ht="12" customHeight="1" x14ac:dyDescent="0.25">
      <c r="A54" s="5">
        <v>250</v>
      </c>
      <c r="B54" s="19" t="s">
        <v>52</v>
      </c>
      <c r="C54" s="19" t="s">
        <v>7</v>
      </c>
      <c r="D54" s="5" t="s">
        <v>58</v>
      </c>
      <c r="E54" s="6">
        <v>366944.33180724998</v>
      </c>
      <c r="F54" s="6">
        <v>6548793.1525728004</v>
      </c>
      <c r="G54" s="7" t="str">
        <f>HYPERLINK("https://minkarta.lantmateriet.se/?e=366944,33180725&amp;n=6548793,1525728&amp;z=12&amp;profile=flygbildmedgranser&amp;background=2&amp;boundaries=true","Visa")</f>
        <v>Visa</v>
      </c>
      <c r="H54" s="5" t="s">
        <v>11</v>
      </c>
      <c r="I54" s="8">
        <v>41.216909999999999</v>
      </c>
      <c r="J54" s="9">
        <v>47.066960000000002</v>
      </c>
      <c r="K54" s="9">
        <v>48.6357</v>
      </c>
      <c r="L54" s="14">
        <v>42.119390000000003</v>
      </c>
      <c r="M54" s="9">
        <v>47.523479999999999</v>
      </c>
      <c r="N54" s="9">
        <v>49.141199999999998</v>
      </c>
      <c r="O54" s="14">
        <v>42.313769999999998</v>
      </c>
      <c r="P54" s="9">
        <v>47.554569999999998</v>
      </c>
      <c r="Q54" s="9">
        <v>49.170810000000003</v>
      </c>
      <c r="R54" s="23">
        <v>36.384219999999999</v>
      </c>
      <c r="S54" s="8">
        <v>0.19438</v>
      </c>
      <c r="T54" s="9">
        <v>3.109E-2</v>
      </c>
      <c r="U54" s="24">
        <v>2.9610000000000001E-2</v>
      </c>
    </row>
    <row r="55" spans="1:21" ht="12" customHeight="1" x14ac:dyDescent="0.25">
      <c r="A55" s="5">
        <v>251</v>
      </c>
      <c r="B55" s="19" t="s">
        <v>52</v>
      </c>
      <c r="C55" s="19" t="s">
        <v>7</v>
      </c>
      <c r="D55" s="5" t="s">
        <v>61</v>
      </c>
      <c r="E55" s="6">
        <v>366968.8088301</v>
      </c>
      <c r="F55" s="6">
        <v>6548762.2833765997</v>
      </c>
      <c r="G55" s="7" t="str">
        <f>HYPERLINK("https://minkarta.lantmateriet.se/?e=366968,8088301&amp;n=6548762,2833766&amp;z=12&amp;profile=flygbildmedgranser&amp;background=2&amp;boundaries=true","Visa")</f>
        <v>Visa</v>
      </c>
      <c r="H55" s="5" t="s">
        <v>8</v>
      </c>
      <c r="I55" s="8">
        <v>37.574179999999998</v>
      </c>
      <c r="J55" s="9">
        <v>39.824629999999999</v>
      </c>
      <c r="K55" s="9">
        <v>42.034080000000003</v>
      </c>
      <c r="L55" s="14">
        <v>38.497660000000003</v>
      </c>
      <c r="M55" s="9">
        <v>40.444870000000002</v>
      </c>
      <c r="N55" s="9">
        <v>42.783520000000003</v>
      </c>
      <c r="O55" s="14">
        <v>39.479170000000003</v>
      </c>
      <c r="P55" s="9">
        <v>40.484200000000001</v>
      </c>
      <c r="Q55" s="9">
        <v>42.824089999999998</v>
      </c>
      <c r="R55" s="23">
        <v>40.463729999999998</v>
      </c>
      <c r="S55" s="8">
        <v>0.98150999999999999</v>
      </c>
      <c r="T55" s="9">
        <v>3.9329999999999997E-2</v>
      </c>
      <c r="U55" s="24">
        <v>4.0570000000000002E-2</v>
      </c>
    </row>
    <row r="56" spans="1:21" ht="12" customHeight="1" x14ac:dyDescent="0.25">
      <c r="A56" s="5">
        <v>253</v>
      </c>
      <c r="B56" s="19" t="s">
        <v>52</v>
      </c>
      <c r="C56" s="19" t="s">
        <v>7</v>
      </c>
      <c r="D56" s="5" t="s">
        <v>55</v>
      </c>
      <c r="E56" s="6">
        <v>366910.34886735998</v>
      </c>
      <c r="F56" s="6">
        <v>6548735.498985</v>
      </c>
      <c r="G56" s="7" t="str">
        <f>HYPERLINK("https://minkarta.lantmateriet.se/?e=366910,34886736&amp;n=6548735,498985&amp;z=12&amp;profile=flygbildmedgranser&amp;background=2&amp;boundaries=true","Visa")</f>
        <v>Visa</v>
      </c>
      <c r="H56" s="5" t="s">
        <v>10</v>
      </c>
      <c r="I56" s="8">
        <v>45.123460000000001</v>
      </c>
      <c r="J56" s="9">
        <v>51.318170000000002</v>
      </c>
      <c r="K56" s="9">
        <v>51.799990000000001</v>
      </c>
      <c r="L56" s="14">
        <v>46.00647</v>
      </c>
      <c r="M56" s="9">
        <v>51.318170000000002</v>
      </c>
      <c r="N56" s="9">
        <v>52.305489999999999</v>
      </c>
      <c r="O56" s="14">
        <v>46.156759999999998</v>
      </c>
      <c r="P56" s="9">
        <v>51.318170000000002</v>
      </c>
      <c r="Q56" s="9">
        <v>52.335090000000001</v>
      </c>
      <c r="R56" s="23">
        <v>26.348410000000001</v>
      </c>
      <c r="S56" s="8">
        <v>0.15029000000000001</v>
      </c>
      <c r="T56" s="9">
        <v>0</v>
      </c>
      <c r="U56" s="24">
        <v>2.9600000000000001E-2</v>
      </c>
    </row>
    <row r="57" spans="1:21" ht="12" customHeight="1" x14ac:dyDescent="0.25">
      <c r="A57" s="5">
        <v>254</v>
      </c>
      <c r="B57" s="19" t="s">
        <v>52</v>
      </c>
      <c r="C57" s="19" t="s">
        <v>7</v>
      </c>
      <c r="D57" s="5" t="s">
        <v>54</v>
      </c>
      <c r="E57" s="6">
        <v>366926.69233428</v>
      </c>
      <c r="F57" s="6">
        <v>6548774.2958795996</v>
      </c>
      <c r="G57" s="7" t="str">
        <f>HYPERLINK("https://minkarta.lantmateriet.se/?e=366926,69233428&amp;n=6548774,2958796&amp;z=12&amp;profile=flygbildmedgranser&amp;background=2&amp;boundaries=true","Visa")</f>
        <v>Visa</v>
      </c>
      <c r="H57" s="5" t="s">
        <v>8</v>
      </c>
      <c r="I57" s="8">
        <v>34.431449999999998</v>
      </c>
      <c r="J57" s="9">
        <v>39.878070000000001</v>
      </c>
      <c r="K57" s="9">
        <v>42.087519999999998</v>
      </c>
      <c r="L57" s="14">
        <v>35.343890000000002</v>
      </c>
      <c r="M57" s="9">
        <v>40.498309999999996</v>
      </c>
      <c r="N57" s="9">
        <v>42.836950000000002</v>
      </c>
      <c r="O57" s="14">
        <v>35.789960000000001</v>
      </c>
      <c r="P57" s="9">
        <v>39.526029999999999</v>
      </c>
      <c r="Q57" s="9">
        <v>41.865920000000003</v>
      </c>
      <c r="R57" s="23">
        <v>36.203989999999997</v>
      </c>
      <c r="S57" s="8">
        <v>0.44607000000000002</v>
      </c>
      <c r="T57" s="9">
        <v>-0.97228000000000003</v>
      </c>
      <c r="U57" s="24">
        <v>-0.97102999999999995</v>
      </c>
    </row>
    <row r="58" spans="1:21" ht="12" customHeight="1" x14ac:dyDescent="0.25">
      <c r="A58" s="5">
        <v>255</v>
      </c>
      <c r="B58" s="19" t="s">
        <v>52</v>
      </c>
      <c r="C58" s="19" t="s">
        <v>7</v>
      </c>
      <c r="D58" s="5" t="s">
        <v>54</v>
      </c>
      <c r="E58" s="6">
        <v>366935.48512401001</v>
      </c>
      <c r="F58" s="6">
        <v>6548787.7768344004</v>
      </c>
      <c r="G58" s="7" t="str">
        <f>HYPERLINK("https://minkarta.lantmateriet.se/?e=366935,48512401&amp;n=6548787,7768344&amp;z=12&amp;profile=flygbildmedgranser&amp;background=2&amp;boundaries=true","Visa")</f>
        <v>Visa</v>
      </c>
      <c r="H58" s="5" t="s">
        <v>9</v>
      </c>
      <c r="I58" s="8">
        <v>37.880429999999997</v>
      </c>
      <c r="J58" s="9">
        <v>42.036610000000003</v>
      </c>
      <c r="K58" s="9">
        <v>43.605350000000001</v>
      </c>
      <c r="L58" s="14">
        <v>38.79665</v>
      </c>
      <c r="M58" s="9">
        <v>42.493130000000001</v>
      </c>
      <c r="N58" s="9">
        <v>44.110860000000002</v>
      </c>
      <c r="O58" s="14">
        <v>39.004280000000001</v>
      </c>
      <c r="P58" s="9">
        <v>42.52422</v>
      </c>
      <c r="Q58" s="9">
        <v>44.140459999999997</v>
      </c>
      <c r="R58" s="23">
        <v>32.572600000000001</v>
      </c>
      <c r="S58" s="8">
        <v>0.20763000000000001</v>
      </c>
      <c r="T58" s="9">
        <v>3.109E-2</v>
      </c>
      <c r="U58" s="24">
        <v>2.9600000000000001E-2</v>
      </c>
    </row>
    <row r="59" spans="1:21" ht="12" customHeight="1" x14ac:dyDescent="0.25">
      <c r="A59" s="5">
        <v>256</v>
      </c>
      <c r="B59" s="19" t="s">
        <v>52</v>
      </c>
      <c r="C59" s="19" t="s">
        <v>7</v>
      </c>
      <c r="D59" s="5" t="s">
        <v>61</v>
      </c>
      <c r="E59" s="6">
        <v>366971.83709764999</v>
      </c>
      <c r="F59" s="6">
        <v>6548771.5643709004</v>
      </c>
      <c r="G59" s="7" t="str">
        <f>HYPERLINK("https://minkarta.lantmateriet.se/?e=366971,83709765&amp;n=6548771,5643709&amp;z=12&amp;profile=flygbildmedgranser&amp;background=2&amp;boundaries=true","Visa")</f>
        <v>Visa</v>
      </c>
      <c r="H59" s="5" t="s">
        <v>9</v>
      </c>
      <c r="I59" s="8">
        <v>36.800559999999997</v>
      </c>
      <c r="J59" s="9">
        <v>40.512079999999997</v>
      </c>
      <c r="K59" s="9">
        <v>42.080829999999999</v>
      </c>
      <c r="L59" s="14">
        <v>37.70984</v>
      </c>
      <c r="M59" s="9">
        <v>40.968609999999998</v>
      </c>
      <c r="N59" s="9">
        <v>42.586329999999997</v>
      </c>
      <c r="O59" s="14">
        <v>37.878779999999999</v>
      </c>
      <c r="P59" s="9">
        <v>40.999690000000001</v>
      </c>
      <c r="Q59" s="9">
        <v>42.615940000000002</v>
      </c>
      <c r="R59" s="23">
        <v>31.659140000000001</v>
      </c>
      <c r="S59" s="8">
        <v>0.16894000000000001</v>
      </c>
      <c r="T59" s="9">
        <v>3.108E-2</v>
      </c>
      <c r="U59" s="24">
        <v>2.9610000000000001E-2</v>
      </c>
    </row>
    <row r="60" spans="1:21" ht="12" customHeight="1" x14ac:dyDescent="0.25">
      <c r="A60" s="5">
        <v>257</v>
      </c>
      <c r="B60" s="19" t="s">
        <v>52</v>
      </c>
      <c r="C60" s="19" t="s">
        <v>7</v>
      </c>
      <c r="D60" s="5" t="s">
        <v>57</v>
      </c>
      <c r="E60" s="6">
        <v>366883.15715561999</v>
      </c>
      <c r="F60" s="6">
        <v>6548748.8389884997</v>
      </c>
      <c r="G60" s="7" t="str">
        <f>HYPERLINK("https://minkarta.lantmateriet.se/?e=366883,15715562&amp;n=6548748,8389885&amp;z=12&amp;profile=flygbildmedgranser&amp;background=2&amp;boundaries=true","Visa")</f>
        <v>Visa</v>
      </c>
      <c r="H60" s="5" t="s">
        <v>9</v>
      </c>
      <c r="I60" s="8">
        <v>40.339700000000001</v>
      </c>
      <c r="J60" s="9">
        <v>47.941009999999999</v>
      </c>
      <c r="K60" s="9">
        <v>49.50976</v>
      </c>
      <c r="L60" s="14">
        <v>41.255899999999997</v>
      </c>
      <c r="M60" s="9">
        <v>48.397539999999999</v>
      </c>
      <c r="N60" s="9">
        <v>50.015259999999998</v>
      </c>
      <c r="O60" s="14">
        <v>41.391280000000002</v>
      </c>
      <c r="P60" s="9">
        <v>48.428620000000002</v>
      </c>
      <c r="Q60" s="9">
        <v>50.04486</v>
      </c>
      <c r="R60" s="23">
        <v>29.26521</v>
      </c>
      <c r="S60" s="8">
        <v>0.13538</v>
      </c>
      <c r="T60" s="9">
        <v>3.108E-2</v>
      </c>
      <c r="U60" s="24">
        <v>2.9600000000000001E-2</v>
      </c>
    </row>
    <row r="61" spans="1:21" ht="12" customHeight="1" x14ac:dyDescent="0.25">
      <c r="A61" s="5">
        <v>258</v>
      </c>
      <c r="B61" s="19" t="s">
        <v>52</v>
      </c>
      <c r="C61" s="19" t="s">
        <v>7</v>
      </c>
      <c r="D61" s="5" t="s">
        <v>53</v>
      </c>
      <c r="E61" s="6">
        <v>366983.86494185001</v>
      </c>
      <c r="F61" s="6">
        <v>6548818.7831896003</v>
      </c>
      <c r="G61" s="7" t="str">
        <f>HYPERLINK("https://minkarta.lantmateriet.se/?e=366983,86494185&amp;n=6548818,7831896&amp;z=12&amp;profile=flygbildmedgranser&amp;background=2&amp;boundaries=true","Visa")</f>
        <v>Visa</v>
      </c>
      <c r="H61" s="5" t="s">
        <v>11</v>
      </c>
      <c r="I61" s="8">
        <v>42.131369999999997</v>
      </c>
      <c r="J61" s="9">
        <v>54.378189999999996</v>
      </c>
      <c r="K61" s="9">
        <v>55.946939999999998</v>
      </c>
      <c r="L61" s="14">
        <v>43.047420000000002</v>
      </c>
      <c r="M61" s="9">
        <v>54.834719999999997</v>
      </c>
      <c r="N61" s="9">
        <v>56.452440000000003</v>
      </c>
      <c r="O61" s="14">
        <v>43.291220000000003</v>
      </c>
      <c r="P61" s="9">
        <v>54.8658</v>
      </c>
      <c r="Q61" s="9">
        <v>56.482039999999998</v>
      </c>
      <c r="R61" s="23">
        <v>35.488770000000002</v>
      </c>
      <c r="S61" s="8">
        <v>0.24379999999999999</v>
      </c>
      <c r="T61" s="9">
        <v>3.108E-2</v>
      </c>
      <c r="U61" s="24">
        <v>2.9600000000000001E-2</v>
      </c>
    </row>
    <row r="62" spans="1:21" ht="12" customHeight="1" x14ac:dyDescent="0.25">
      <c r="A62" s="5">
        <v>259</v>
      </c>
      <c r="B62" s="19" t="s">
        <v>52</v>
      </c>
      <c r="C62" s="19" t="s">
        <v>7</v>
      </c>
      <c r="D62" s="5" t="s">
        <v>60</v>
      </c>
      <c r="E62" s="6">
        <v>366845.32475017</v>
      </c>
      <c r="F62" s="6">
        <v>6548689.2817003001</v>
      </c>
      <c r="G62" s="7" t="str">
        <f>HYPERLINK("https://minkarta.lantmateriet.se/?e=366845,32475017&amp;n=6548689,2817003&amp;z=12&amp;profile=flygbildmedgranser&amp;background=2&amp;boundaries=true","Visa")</f>
        <v>Visa</v>
      </c>
      <c r="H62" s="5" t="s">
        <v>13</v>
      </c>
      <c r="I62" s="8">
        <v>36.234209999999997</v>
      </c>
      <c r="J62" s="9">
        <v>44.912509999999997</v>
      </c>
      <c r="K62" s="9">
        <v>46.36647</v>
      </c>
      <c r="L62" s="14">
        <v>37.173180000000002</v>
      </c>
      <c r="M62" s="9">
        <v>45.412010000000002</v>
      </c>
      <c r="N62" s="9">
        <v>48.882669999999997</v>
      </c>
      <c r="O62" s="14">
        <v>38.73753</v>
      </c>
      <c r="P62" s="9">
        <v>47.950060000000001</v>
      </c>
      <c r="Q62" s="9">
        <v>49.235579999999999</v>
      </c>
      <c r="R62" s="23">
        <v>44.218890000000002</v>
      </c>
      <c r="S62" s="8">
        <v>1.5643499999999999</v>
      </c>
      <c r="T62" s="9">
        <v>2.5380500000000001</v>
      </c>
      <c r="U62" s="24">
        <v>0.35291</v>
      </c>
    </row>
    <row r="63" spans="1:21" ht="12" customHeight="1" x14ac:dyDescent="0.25">
      <c r="A63" s="5">
        <v>260</v>
      </c>
      <c r="B63" s="19" t="s">
        <v>52</v>
      </c>
      <c r="C63" s="19" t="s">
        <v>7</v>
      </c>
      <c r="D63" s="5" t="s">
        <v>53</v>
      </c>
      <c r="E63" s="6">
        <v>366992.86781402002</v>
      </c>
      <c r="F63" s="6">
        <v>6548821.8074438004</v>
      </c>
      <c r="G63" s="7" t="str">
        <f>HYPERLINK("https://minkarta.lantmateriet.se/?e=366992,86781402&amp;n=6548821,8074438&amp;z=12&amp;profile=flygbildmedgranser&amp;background=2&amp;boundaries=true","Visa")</f>
        <v>Visa</v>
      </c>
      <c r="H63" s="5" t="s">
        <v>8</v>
      </c>
      <c r="I63" s="8">
        <v>37.22813</v>
      </c>
      <c r="J63" s="9">
        <v>39.145359999999997</v>
      </c>
      <c r="K63" s="9">
        <v>40.714109999999998</v>
      </c>
      <c r="L63" s="14">
        <v>38.162059999999997</v>
      </c>
      <c r="M63" s="9">
        <v>39.601889999999997</v>
      </c>
      <c r="N63" s="9">
        <v>41.219610000000003</v>
      </c>
      <c r="O63" s="14">
        <v>38.494790000000002</v>
      </c>
      <c r="P63" s="9">
        <v>39.63297</v>
      </c>
      <c r="Q63" s="9">
        <v>41.249209999999998</v>
      </c>
      <c r="R63" s="23">
        <v>33.761859999999999</v>
      </c>
      <c r="S63" s="8">
        <v>0.33273000000000003</v>
      </c>
      <c r="T63" s="9">
        <v>3.108E-2</v>
      </c>
      <c r="U63" s="24">
        <v>2.9600000000000001E-2</v>
      </c>
    </row>
    <row r="64" spans="1:21" ht="12" customHeight="1" x14ac:dyDescent="0.25">
      <c r="A64" s="5">
        <v>261</v>
      </c>
      <c r="B64" s="19" t="s">
        <v>52</v>
      </c>
      <c r="C64" s="19" t="s">
        <v>7</v>
      </c>
      <c r="D64" s="5" t="s">
        <v>60</v>
      </c>
      <c r="E64" s="6">
        <v>366845.71080373001</v>
      </c>
      <c r="F64" s="6">
        <v>6548705.3577506999</v>
      </c>
      <c r="G64" s="7" t="str">
        <f>HYPERLINK("https://minkarta.lantmateriet.se/?e=366845,71080373&amp;n=6548705,3577507&amp;z=12&amp;profile=flygbildmedgranser&amp;background=2&amp;boundaries=true","Visa")</f>
        <v>Visa</v>
      </c>
      <c r="H64" s="5" t="s">
        <v>14</v>
      </c>
      <c r="I64" s="8">
        <v>43.270890000000001</v>
      </c>
      <c r="J64" s="9">
        <v>52.24033</v>
      </c>
      <c r="K64" s="9">
        <v>52.24033</v>
      </c>
      <c r="L64" s="14">
        <v>44.179690000000001</v>
      </c>
      <c r="M64" s="9">
        <v>52.24033</v>
      </c>
      <c r="N64" s="9">
        <v>52.367510000000003</v>
      </c>
      <c r="O64" s="14">
        <v>44.47945</v>
      </c>
      <c r="P64" s="9">
        <v>52.24033</v>
      </c>
      <c r="Q64" s="9">
        <v>52.397109999999998</v>
      </c>
      <c r="R64" s="23">
        <v>39.813769999999998</v>
      </c>
      <c r="S64" s="8">
        <v>0.29976000000000003</v>
      </c>
      <c r="T64" s="9">
        <v>0</v>
      </c>
      <c r="U64" s="24">
        <v>2.9600000000000001E-2</v>
      </c>
    </row>
    <row r="65" spans="1:21" ht="12" customHeight="1" x14ac:dyDescent="0.25">
      <c r="A65" s="5">
        <v>262</v>
      </c>
      <c r="B65" s="19" t="s">
        <v>52</v>
      </c>
      <c r="C65" s="19" t="s">
        <v>7</v>
      </c>
      <c r="D65" s="5" t="s">
        <v>54</v>
      </c>
      <c r="E65" s="6">
        <v>366919.62466822</v>
      </c>
      <c r="F65" s="6">
        <v>6548783.5536246998</v>
      </c>
      <c r="G65" s="7" t="str">
        <f>HYPERLINK("https://minkarta.lantmateriet.se/?e=366919,62466822&amp;n=6548783,5536247&amp;z=12&amp;profile=flygbildmedgranser&amp;background=2&amp;boundaries=true","Visa")</f>
        <v>Visa</v>
      </c>
      <c r="H65" s="5" t="s">
        <v>10</v>
      </c>
      <c r="I65" s="8">
        <v>44.406590000000001</v>
      </c>
      <c r="J65" s="9">
        <v>50.601900000000001</v>
      </c>
      <c r="K65" s="9">
        <v>50.601900000000001</v>
      </c>
      <c r="L65" s="14">
        <v>45.311540000000001</v>
      </c>
      <c r="M65" s="9">
        <v>50.601900000000001</v>
      </c>
      <c r="N65" s="9">
        <v>50.669350000000001</v>
      </c>
      <c r="O65" s="14">
        <v>45.41621</v>
      </c>
      <c r="P65" s="9">
        <v>50.601900000000001</v>
      </c>
      <c r="Q65" s="9">
        <v>50.69896</v>
      </c>
      <c r="R65" s="23">
        <v>24.575040000000001</v>
      </c>
      <c r="S65" s="8">
        <v>0.10467</v>
      </c>
      <c r="T65" s="9">
        <v>0</v>
      </c>
      <c r="U65" s="24">
        <v>2.9610000000000001E-2</v>
      </c>
    </row>
    <row r="66" spans="1:21" ht="12" customHeight="1" x14ac:dyDescent="0.25">
      <c r="A66" s="5">
        <v>263</v>
      </c>
      <c r="B66" s="19" t="s">
        <v>52</v>
      </c>
      <c r="C66" s="19" t="s">
        <v>7</v>
      </c>
      <c r="D66" s="5" t="s">
        <v>61</v>
      </c>
      <c r="E66" s="6">
        <v>366962.38711924001</v>
      </c>
      <c r="F66" s="6">
        <v>6548771.8335892996</v>
      </c>
      <c r="G66" s="7" t="str">
        <f>HYPERLINK("https://minkarta.lantmateriet.se/?e=366962,38711924&amp;n=6548771,8335893&amp;z=12&amp;profile=flygbildmedgranser&amp;background=2&amp;boundaries=true","Visa")</f>
        <v>Visa</v>
      </c>
      <c r="H66" s="5" t="s">
        <v>10</v>
      </c>
      <c r="I66" s="8">
        <v>41.46651</v>
      </c>
      <c r="J66" s="9">
        <v>50.244419999999998</v>
      </c>
      <c r="K66" s="9">
        <v>51.81317</v>
      </c>
      <c r="L66" s="14">
        <v>42.380090000000003</v>
      </c>
      <c r="M66" s="9">
        <v>50.700949999999999</v>
      </c>
      <c r="N66" s="9">
        <v>52.318669999999997</v>
      </c>
      <c r="O66" s="14">
        <v>42.541130000000003</v>
      </c>
      <c r="P66" s="9">
        <v>50.732030000000002</v>
      </c>
      <c r="Q66" s="9">
        <v>52.348269999999999</v>
      </c>
      <c r="R66" s="23">
        <v>31.529240000000001</v>
      </c>
      <c r="S66" s="8">
        <v>0.16103999999999999</v>
      </c>
      <c r="T66" s="9">
        <v>3.108E-2</v>
      </c>
      <c r="U66" s="24">
        <v>2.9600000000000001E-2</v>
      </c>
    </row>
    <row r="67" spans="1:21" ht="12" customHeight="1" x14ac:dyDescent="0.25">
      <c r="A67" s="5">
        <v>264</v>
      </c>
      <c r="B67" s="19" t="s">
        <v>52</v>
      </c>
      <c r="C67" s="19" t="s">
        <v>7</v>
      </c>
      <c r="D67" s="5" t="s">
        <v>57</v>
      </c>
      <c r="E67" s="6">
        <v>366868.13354494999</v>
      </c>
      <c r="F67" s="6">
        <v>6548742.2556862002</v>
      </c>
      <c r="G67" s="7" t="str">
        <f>HYPERLINK("https://minkarta.lantmateriet.se/?e=366868,13354495&amp;n=6548742,2556862&amp;z=12&amp;profile=flygbildmedgranser&amp;background=2&amp;boundaries=true","Visa")</f>
        <v>Visa</v>
      </c>
      <c r="H67" s="5" t="s">
        <v>10</v>
      </c>
      <c r="I67" s="8">
        <v>43.582819999999998</v>
      </c>
      <c r="J67" s="9">
        <v>52.930680000000002</v>
      </c>
      <c r="K67" s="9">
        <v>52.930680000000002</v>
      </c>
      <c r="L67" s="14">
        <v>44.486049999999999</v>
      </c>
      <c r="M67" s="9">
        <v>52.930680000000002</v>
      </c>
      <c r="N67" s="9">
        <v>52.930680000000002</v>
      </c>
      <c r="O67" s="14">
        <v>44.615490000000001</v>
      </c>
      <c r="P67" s="9">
        <v>52.930680000000002</v>
      </c>
      <c r="Q67" s="9">
        <v>52.930680000000002</v>
      </c>
      <c r="R67" s="23">
        <v>26.267700000000001</v>
      </c>
      <c r="S67" s="8">
        <v>0.12944</v>
      </c>
      <c r="T67" s="9">
        <v>0</v>
      </c>
      <c r="U67" s="24">
        <v>0</v>
      </c>
    </row>
    <row r="68" spans="1:21" ht="12" customHeight="1" x14ac:dyDescent="0.25">
      <c r="A68" s="5">
        <v>265</v>
      </c>
      <c r="B68" s="19" t="s">
        <v>52</v>
      </c>
      <c r="C68" s="19" t="s">
        <v>7</v>
      </c>
      <c r="D68" s="5" t="s">
        <v>53</v>
      </c>
      <c r="E68" s="6">
        <v>366998.26344235998</v>
      </c>
      <c r="F68" s="6">
        <v>6548827.2201893004</v>
      </c>
      <c r="G68" s="7" t="str">
        <f>HYPERLINK("https://minkarta.lantmateriet.se/?e=366998,26344236&amp;n=6548827,2201893&amp;z=12&amp;profile=flygbildmedgranser&amp;background=2&amp;boundaries=true","Visa")</f>
        <v>Visa</v>
      </c>
      <c r="H68" s="5" t="s">
        <v>11</v>
      </c>
      <c r="I68" s="8">
        <v>38.237690000000001</v>
      </c>
      <c r="J68" s="9">
        <v>38.735120000000002</v>
      </c>
      <c r="K68" s="9">
        <v>40.263689999999997</v>
      </c>
      <c r="L68" s="14">
        <v>39.202500000000001</v>
      </c>
      <c r="M68" s="9">
        <v>39.16422</v>
      </c>
      <c r="N68" s="9">
        <v>40.78219</v>
      </c>
      <c r="O68" s="14">
        <v>39.463120000000004</v>
      </c>
      <c r="P68" s="9">
        <v>39.19267</v>
      </c>
      <c r="Q68" s="9">
        <v>40.811509999999998</v>
      </c>
      <c r="R68" s="23">
        <v>33.099290000000003</v>
      </c>
      <c r="S68" s="8">
        <v>0.26062000000000002</v>
      </c>
      <c r="T68" s="9">
        <v>2.845E-2</v>
      </c>
      <c r="U68" s="24">
        <v>2.9319999999999999E-2</v>
      </c>
    </row>
    <row r="69" spans="1:21" ht="12" customHeight="1" x14ac:dyDescent="0.25">
      <c r="A69" s="5">
        <v>266</v>
      </c>
      <c r="B69" s="19" t="s">
        <v>52</v>
      </c>
      <c r="C69" s="19" t="s">
        <v>7</v>
      </c>
      <c r="D69" s="5" t="s">
        <v>57</v>
      </c>
      <c r="E69" s="6">
        <v>366858.15883382998</v>
      </c>
      <c r="F69" s="6">
        <v>6548730.4980284004</v>
      </c>
      <c r="G69" s="7" t="str">
        <f>HYPERLINK("https://minkarta.lantmateriet.se/?e=366858,15883383&amp;n=6548730,4980284&amp;z=12&amp;profile=flygbildmedgranser&amp;background=2&amp;boundaries=true","Visa")</f>
        <v>Visa</v>
      </c>
      <c r="H69" s="5" t="s">
        <v>11</v>
      </c>
      <c r="I69" s="8">
        <v>43.166220000000003</v>
      </c>
      <c r="J69" s="9">
        <v>57.182000000000002</v>
      </c>
      <c r="K69" s="9">
        <v>57.182000000000002</v>
      </c>
      <c r="L69" s="14">
        <v>44.056609999999999</v>
      </c>
      <c r="M69" s="9">
        <v>57.182000000000002</v>
      </c>
      <c r="N69" s="9">
        <v>57.182000000000002</v>
      </c>
      <c r="O69" s="14">
        <v>44.217010000000002</v>
      </c>
      <c r="P69" s="9">
        <v>57.182000000000002</v>
      </c>
      <c r="Q69" s="9">
        <v>57.182000000000002</v>
      </c>
      <c r="R69" s="23">
        <v>28.390280000000001</v>
      </c>
      <c r="S69" s="8">
        <v>0.16039999999999999</v>
      </c>
      <c r="T69" s="9">
        <v>0</v>
      </c>
      <c r="U69" s="24">
        <v>0</v>
      </c>
    </row>
    <row r="70" spans="1:21" ht="12" customHeight="1" x14ac:dyDescent="0.25">
      <c r="A70" s="5">
        <v>267</v>
      </c>
      <c r="B70" s="19" t="s">
        <v>52</v>
      </c>
      <c r="C70" s="19" t="s">
        <v>7</v>
      </c>
      <c r="D70" s="5" t="s">
        <v>54</v>
      </c>
      <c r="E70" s="6">
        <v>366908.05037860002</v>
      </c>
      <c r="F70" s="6">
        <v>6548773.3611687999</v>
      </c>
      <c r="G70" s="7" t="str">
        <f>HYPERLINK("https://minkarta.lantmateriet.se/?e=366908,0503786&amp;n=6548773,3611688&amp;z=12&amp;profile=flygbildmedgranser&amp;background=2&amp;boundaries=true","Visa")</f>
        <v>Visa</v>
      </c>
      <c r="H70" s="5" t="s">
        <v>11</v>
      </c>
      <c r="I70" s="8">
        <v>45.78801</v>
      </c>
      <c r="J70" s="9">
        <v>54.314599999999999</v>
      </c>
      <c r="K70" s="9">
        <v>54.314599999999999</v>
      </c>
      <c r="L70" s="14">
        <v>46.686390000000003</v>
      </c>
      <c r="M70" s="9">
        <v>54.314599999999999</v>
      </c>
      <c r="N70" s="9">
        <v>54.314599999999999</v>
      </c>
      <c r="O70" s="14">
        <v>46.811210000000003</v>
      </c>
      <c r="P70" s="9">
        <v>54.314599999999999</v>
      </c>
      <c r="Q70" s="9">
        <v>54.314599999999999</v>
      </c>
      <c r="R70" s="23">
        <v>26.474540000000001</v>
      </c>
      <c r="S70" s="8">
        <v>0.12482</v>
      </c>
      <c r="T70" s="9">
        <v>0</v>
      </c>
      <c r="U70" s="24">
        <v>0</v>
      </c>
    </row>
    <row r="71" spans="1:21" ht="12" customHeight="1" x14ac:dyDescent="0.25">
      <c r="A71" s="5">
        <v>268</v>
      </c>
      <c r="B71" s="19" t="s">
        <v>52</v>
      </c>
      <c r="C71" s="19" t="s">
        <v>7</v>
      </c>
      <c r="D71" s="5" t="s">
        <v>60</v>
      </c>
      <c r="E71" s="6">
        <v>366834.524752</v>
      </c>
      <c r="F71" s="6">
        <v>6548693.2818040997</v>
      </c>
      <c r="G71" s="7" t="str">
        <f>HYPERLINK("https://minkarta.lantmateriet.se/?e=366834,524752&amp;n=6548693,2818041&amp;z=12&amp;profile=flygbildmedgranser&amp;background=2&amp;boundaries=true","Visa")</f>
        <v>Visa</v>
      </c>
      <c r="H71" s="5" t="s">
        <v>16</v>
      </c>
      <c r="I71" s="8">
        <v>44.609839999999998</v>
      </c>
      <c r="J71" s="9">
        <v>52.327260000000003</v>
      </c>
      <c r="K71" s="9">
        <v>52.327260000000003</v>
      </c>
      <c r="L71" s="14">
        <v>45.51923</v>
      </c>
      <c r="M71" s="9">
        <v>52.327260000000003</v>
      </c>
      <c r="N71" s="9">
        <v>52.327260000000003</v>
      </c>
      <c r="O71" s="14">
        <v>45.751620000000003</v>
      </c>
      <c r="P71" s="9">
        <v>52.269489999999998</v>
      </c>
      <c r="Q71" s="9">
        <v>52.269489999999998</v>
      </c>
      <c r="R71" s="23">
        <v>40.131749999999997</v>
      </c>
      <c r="S71" s="8">
        <v>0.23239000000000001</v>
      </c>
      <c r="T71" s="9">
        <v>-5.7770000000000002E-2</v>
      </c>
      <c r="U71" s="24">
        <v>-5.7770000000000002E-2</v>
      </c>
    </row>
    <row r="72" spans="1:21" ht="12" customHeight="1" x14ac:dyDescent="0.25">
      <c r="A72" s="5">
        <v>269</v>
      </c>
      <c r="B72" s="19" t="s">
        <v>52</v>
      </c>
      <c r="C72" s="19" t="s">
        <v>7</v>
      </c>
      <c r="D72" s="5" t="s">
        <v>61</v>
      </c>
      <c r="E72" s="6">
        <v>366955.42757380003</v>
      </c>
      <c r="F72" s="6">
        <v>6548768.6904036999</v>
      </c>
      <c r="G72" s="7" t="str">
        <f>HYPERLINK("https://minkarta.lantmateriet.se/?e=366955,4275738&amp;n=6548768,6904037&amp;z=12&amp;profile=flygbildmedgranser&amp;background=2&amp;boundaries=true","Visa")</f>
        <v>Visa</v>
      </c>
      <c r="H72" s="5" t="s">
        <v>9</v>
      </c>
      <c r="I72" s="8">
        <v>39.971910000000001</v>
      </c>
      <c r="J72" s="9">
        <v>49.661799999999999</v>
      </c>
      <c r="K72" s="9">
        <v>51.230550000000001</v>
      </c>
      <c r="L72" s="14">
        <v>40.894889999999997</v>
      </c>
      <c r="M72" s="9">
        <v>50.11833</v>
      </c>
      <c r="N72" s="9">
        <v>51.736049999999999</v>
      </c>
      <c r="O72" s="14">
        <v>41.095219999999998</v>
      </c>
      <c r="P72" s="9">
        <v>50.149410000000003</v>
      </c>
      <c r="Q72" s="9">
        <v>51.765659999999997</v>
      </c>
      <c r="R72" s="23">
        <v>32.597720000000002</v>
      </c>
      <c r="S72" s="8">
        <v>0.20033000000000001</v>
      </c>
      <c r="T72" s="9">
        <v>3.108E-2</v>
      </c>
      <c r="U72" s="24">
        <v>2.9610000000000001E-2</v>
      </c>
    </row>
    <row r="73" spans="1:21" ht="12" customHeight="1" x14ac:dyDescent="0.25">
      <c r="A73" s="5">
        <v>270</v>
      </c>
      <c r="B73" s="19" t="s">
        <v>52</v>
      </c>
      <c r="C73" s="19" t="s">
        <v>7</v>
      </c>
      <c r="D73" s="5" t="s">
        <v>60</v>
      </c>
      <c r="E73" s="6">
        <v>366830.05770105001</v>
      </c>
      <c r="F73" s="6">
        <v>6548678.4437520998</v>
      </c>
      <c r="G73" s="7" t="str">
        <f>HYPERLINK("https://minkarta.lantmateriet.se/?e=366830,05770105&amp;n=6548678,4437521&amp;z=12&amp;profile=flygbildmedgranser&amp;background=2&amp;boundaries=true","Visa")</f>
        <v>Visa</v>
      </c>
      <c r="H73" s="5" t="s">
        <v>15</v>
      </c>
      <c r="I73" s="8">
        <v>46.292580000000001</v>
      </c>
      <c r="J73" s="9">
        <v>56.875430000000001</v>
      </c>
      <c r="K73" s="9">
        <v>56.875430000000001</v>
      </c>
      <c r="L73" s="14">
        <v>47.182220000000001</v>
      </c>
      <c r="M73" s="9">
        <v>56.875430000000001</v>
      </c>
      <c r="N73" s="9">
        <v>56.875430000000001</v>
      </c>
      <c r="O73" s="14">
        <v>47.5533</v>
      </c>
      <c r="P73" s="9">
        <v>56.875430000000001</v>
      </c>
      <c r="Q73" s="9">
        <v>56.875430000000001</v>
      </c>
      <c r="R73" s="23">
        <v>43.276020000000003</v>
      </c>
      <c r="S73" s="8">
        <v>0.37108000000000002</v>
      </c>
      <c r="T73" s="9">
        <v>0</v>
      </c>
      <c r="U73" s="24">
        <v>0</v>
      </c>
    </row>
    <row r="74" spans="1:21" ht="12" customHeight="1" x14ac:dyDescent="0.25">
      <c r="A74" s="5">
        <v>271</v>
      </c>
      <c r="B74" s="19" t="s">
        <v>52</v>
      </c>
      <c r="C74" s="19" t="s">
        <v>7</v>
      </c>
      <c r="D74" s="5" t="s">
        <v>53</v>
      </c>
      <c r="E74" s="6">
        <v>367008.07031390001</v>
      </c>
      <c r="F74" s="6">
        <v>6548839.1939436002</v>
      </c>
      <c r="G74" s="7" t="str">
        <f>HYPERLINK("https://minkarta.lantmateriet.se/?e=367008,0703139&amp;n=6548839,1939436&amp;z=12&amp;profile=flygbildmedgranser&amp;background=2&amp;boundaries=true","Visa")</f>
        <v>Visa</v>
      </c>
      <c r="H74" s="5" t="s">
        <v>8</v>
      </c>
      <c r="I74" s="8">
        <v>38.197600000000001</v>
      </c>
      <c r="J74" s="9">
        <v>39.575659999999999</v>
      </c>
      <c r="K74" s="9">
        <v>41.144410000000001</v>
      </c>
      <c r="L74" s="14">
        <v>39.118859999999998</v>
      </c>
      <c r="M74" s="9">
        <v>40.032179999999997</v>
      </c>
      <c r="N74" s="9">
        <v>41.649909999999998</v>
      </c>
      <c r="O74" s="14">
        <v>39.531820000000003</v>
      </c>
      <c r="P74" s="9">
        <v>40.063270000000003</v>
      </c>
      <c r="Q74" s="9">
        <v>41.679510000000001</v>
      </c>
      <c r="R74" s="23">
        <v>35.31232</v>
      </c>
      <c r="S74" s="8">
        <v>0.41295999999999999</v>
      </c>
      <c r="T74" s="9">
        <v>3.109E-2</v>
      </c>
      <c r="U74" s="24">
        <v>2.9600000000000001E-2</v>
      </c>
    </row>
    <row r="75" spans="1:21" ht="12" customHeight="1" x14ac:dyDescent="0.25">
      <c r="A75" s="5">
        <v>272</v>
      </c>
      <c r="B75" s="19" t="s">
        <v>52</v>
      </c>
      <c r="C75" s="19" t="s">
        <v>7</v>
      </c>
      <c r="D75" s="5" t="s">
        <v>61</v>
      </c>
      <c r="E75" s="6">
        <v>366942.06363908999</v>
      </c>
      <c r="F75" s="6">
        <v>6548760.9606037</v>
      </c>
      <c r="G75" s="7" t="str">
        <f>HYPERLINK("https://minkarta.lantmateriet.se/?e=366942,06363909&amp;n=6548760,9606037&amp;z=12&amp;profile=flygbildmedgranser&amp;background=2&amp;boundaries=true","Visa")</f>
        <v>Visa</v>
      </c>
      <c r="H75" s="5" t="s">
        <v>10</v>
      </c>
      <c r="I75" s="8">
        <v>41.864170000000001</v>
      </c>
      <c r="J75" s="9">
        <v>45.605499999999999</v>
      </c>
      <c r="K75" s="9">
        <v>47.174250000000001</v>
      </c>
      <c r="L75" s="14">
        <v>42.773110000000003</v>
      </c>
      <c r="M75" s="9">
        <v>46.06203</v>
      </c>
      <c r="N75" s="9">
        <v>47.679749999999999</v>
      </c>
      <c r="O75" s="14">
        <v>43.198180000000001</v>
      </c>
      <c r="P75" s="9">
        <v>46.093110000000003</v>
      </c>
      <c r="Q75" s="9">
        <v>47.709350000000001</v>
      </c>
      <c r="R75" s="23">
        <v>40.133969999999998</v>
      </c>
      <c r="S75" s="8">
        <v>0.42507</v>
      </c>
      <c r="T75" s="9">
        <v>3.108E-2</v>
      </c>
      <c r="U75" s="24">
        <v>2.9600000000000001E-2</v>
      </c>
    </row>
    <row r="76" spans="1:21" ht="12" customHeight="1" x14ac:dyDescent="0.25">
      <c r="A76" s="5">
        <v>273</v>
      </c>
      <c r="B76" s="19" t="s">
        <v>52</v>
      </c>
      <c r="C76" s="19" t="s">
        <v>7</v>
      </c>
      <c r="D76" s="5" t="s">
        <v>54</v>
      </c>
      <c r="E76" s="6">
        <v>366902.84716762998</v>
      </c>
      <c r="F76" s="6">
        <v>6548767.7676243</v>
      </c>
      <c r="G76" s="7" t="str">
        <f>HYPERLINK("https://minkarta.lantmateriet.se/?e=366902,84716763&amp;n=6548767,7676243&amp;z=12&amp;profile=flygbildmedgranser&amp;background=2&amp;boundaries=true","Visa")</f>
        <v>Visa</v>
      </c>
      <c r="H76" s="5" t="s">
        <v>10</v>
      </c>
      <c r="I76" s="8">
        <v>44.545729999999999</v>
      </c>
      <c r="J76" s="9">
        <v>53.11797</v>
      </c>
      <c r="K76" s="9">
        <v>53.11797</v>
      </c>
      <c r="L76" s="14">
        <v>45.450569999999999</v>
      </c>
      <c r="M76" s="9">
        <v>53.11797</v>
      </c>
      <c r="N76" s="9">
        <v>53.11797</v>
      </c>
      <c r="O76" s="14">
        <v>45.568129999999996</v>
      </c>
      <c r="P76" s="9">
        <v>53.11797</v>
      </c>
      <c r="Q76" s="9">
        <v>53.11797</v>
      </c>
      <c r="R76" s="23">
        <v>26.865790000000001</v>
      </c>
      <c r="S76" s="8">
        <v>0.11756</v>
      </c>
      <c r="T76" s="9">
        <v>0</v>
      </c>
      <c r="U76" s="24">
        <v>0</v>
      </c>
    </row>
    <row r="77" spans="1:21" ht="12" customHeight="1" x14ac:dyDescent="0.25">
      <c r="A77" s="5">
        <v>274</v>
      </c>
      <c r="B77" s="19" t="s">
        <v>52</v>
      </c>
      <c r="C77" s="19" t="s">
        <v>7</v>
      </c>
      <c r="D77" s="5" t="s">
        <v>57</v>
      </c>
      <c r="E77" s="6">
        <v>366853.81750190002</v>
      </c>
      <c r="F77" s="6">
        <v>6548724.1596443001</v>
      </c>
      <c r="G77" s="7" t="str">
        <f>HYPERLINK("https://minkarta.lantmateriet.se/?e=366853,8175019&amp;n=6548724,1596443&amp;z=12&amp;profile=flygbildmedgranser&amp;background=2&amp;boundaries=true","Visa")</f>
        <v>Visa</v>
      </c>
      <c r="H77" s="5" t="s">
        <v>10</v>
      </c>
      <c r="I77" s="8">
        <v>44.040999999999997</v>
      </c>
      <c r="J77" s="9">
        <v>54.813459999999999</v>
      </c>
      <c r="K77" s="9">
        <v>54.813459999999999</v>
      </c>
      <c r="L77" s="14">
        <v>44.940159999999999</v>
      </c>
      <c r="M77" s="9">
        <v>54.813459999999999</v>
      </c>
      <c r="N77" s="9">
        <v>54.813459999999999</v>
      </c>
      <c r="O77" s="14">
        <v>45.083289999999998</v>
      </c>
      <c r="P77" s="9">
        <v>54.813459999999999</v>
      </c>
      <c r="Q77" s="9">
        <v>54.813459999999999</v>
      </c>
      <c r="R77" s="23">
        <v>28.545470000000002</v>
      </c>
      <c r="S77" s="8">
        <v>0.14313000000000001</v>
      </c>
      <c r="T77" s="9">
        <v>0</v>
      </c>
      <c r="U77" s="24">
        <v>0</v>
      </c>
    </row>
    <row r="78" spans="1:21" ht="12" customHeight="1" x14ac:dyDescent="0.25">
      <c r="A78" s="5">
        <v>275</v>
      </c>
      <c r="B78" s="19" t="s">
        <v>63</v>
      </c>
      <c r="C78" s="19" t="s">
        <v>12</v>
      </c>
      <c r="D78" s="5" t="s">
        <v>64</v>
      </c>
      <c r="E78" s="6">
        <v>367157.59092465002</v>
      </c>
      <c r="F78" s="6">
        <v>6548400.3356128996</v>
      </c>
      <c r="G78" s="7" t="str">
        <f>HYPERLINK("https://minkarta.lantmateriet.se/?e=367157,59092465&amp;n=6548400,3356129&amp;z=12&amp;profile=flygbildmedgranser&amp;background=2&amp;boundaries=true","Visa")</f>
        <v>Visa</v>
      </c>
      <c r="H78" s="5" t="s">
        <v>8</v>
      </c>
      <c r="I78" s="8">
        <v>51.98151</v>
      </c>
      <c r="J78" s="9">
        <v>66.089179999999999</v>
      </c>
      <c r="K78" s="9">
        <v>67.543139999999994</v>
      </c>
      <c r="L78" s="14">
        <v>52.951549999999997</v>
      </c>
      <c r="M78" s="9">
        <v>66.588669999999993</v>
      </c>
      <c r="N78" s="9">
        <v>70.059330000000003</v>
      </c>
      <c r="O78" s="14">
        <v>53.881349999999998</v>
      </c>
      <c r="P78" s="9">
        <v>67.573490000000007</v>
      </c>
      <c r="Q78" s="9">
        <v>70.428060000000002</v>
      </c>
      <c r="R78" s="23">
        <v>25.405419999999999</v>
      </c>
      <c r="S78" s="8">
        <v>0.92979999999999996</v>
      </c>
      <c r="T78" s="9">
        <v>0.98482000000000003</v>
      </c>
      <c r="U78" s="24">
        <v>0.36873</v>
      </c>
    </row>
    <row r="79" spans="1:21" ht="12" customHeight="1" x14ac:dyDescent="0.25">
      <c r="A79" s="5">
        <v>276</v>
      </c>
      <c r="B79" s="19" t="s">
        <v>63</v>
      </c>
      <c r="C79" s="19" t="s">
        <v>12</v>
      </c>
      <c r="D79" s="5" t="s">
        <v>64</v>
      </c>
      <c r="E79" s="6">
        <v>367157.4203916</v>
      </c>
      <c r="F79" s="6">
        <v>6548408.6004247004</v>
      </c>
      <c r="G79" s="7" t="str">
        <f>HYPERLINK("https://minkarta.lantmateriet.se/?e=367157,4203916&amp;n=6548408,6004247&amp;z=12&amp;profile=flygbildmedgranser&amp;background=2&amp;boundaries=true","Visa")</f>
        <v>Visa</v>
      </c>
      <c r="H79" s="5" t="s">
        <v>9</v>
      </c>
      <c r="I79" s="8">
        <v>37.527279999999998</v>
      </c>
      <c r="J79" s="9">
        <v>46.766129999999997</v>
      </c>
      <c r="K79" s="9">
        <v>48.220100000000002</v>
      </c>
      <c r="L79" s="14">
        <v>38.47298</v>
      </c>
      <c r="M79" s="9">
        <v>47.265630000000002</v>
      </c>
      <c r="N79" s="9">
        <v>50.736289999999997</v>
      </c>
      <c r="O79" s="14">
        <v>38.87106</v>
      </c>
      <c r="P79" s="9">
        <v>48.250450000000001</v>
      </c>
      <c r="Q79" s="9">
        <v>51.105020000000003</v>
      </c>
      <c r="R79" s="23">
        <v>30.09141</v>
      </c>
      <c r="S79" s="8">
        <v>0.39807999999999999</v>
      </c>
      <c r="T79" s="9">
        <v>0.98482000000000003</v>
      </c>
      <c r="U79" s="24">
        <v>0.36873</v>
      </c>
    </row>
    <row r="80" spans="1:21" ht="12" customHeight="1" x14ac:dyDescent="0.25">
      <c r="A80" s="5">
        <v>278</v>
      </c>
      <c r="B80" s="19" t="s">
        <v>63</v>
      </c>
      <c r="C80" s="19" t="s">
        <v>12</v>
      </c>
      <c r="D80" s="5" t="s">
        <v>64</v>
      </c>
      <c r="E80" s="6">
        <v>367150.01511111</v>
      </c>
      <c r="F80" s="6">
        <v>6548397.0280788997</v>
      </c>
      <c r="G80" s="7" t="str">
        <f>HYPERLINK("https://minkarta.lantmateriet.se/?e=367150,01511111&amp;n=6548397,0280789&amp;z=12&amp;profile=flygbildmedgranser&amp;background=2&amp;boundaries=true","Visa")</f>
        <v>Visa</v>
      </c>
      <c r="H80" s="5" t="s">
        <v>11</v>
      </c>
      <c r="I80" s="8">
        <v>57.193219999999997</v>
      </c>
      <c r="J80" s="9">
        <v>70.29862</v>
      </c>
      <c r="K80" s="9">
        <v>71.752589999999998</v>
      </c>
      <c r="L80" s="14">
        <v>58.196959999999997</v>
      </c>
      <c r="M80" s="9">
        <v>70.798119999999997</v>
      </c>
      <c r="N80" s="9">
        <v>74.268780000000007</v>
      </c>
      <c r="O80" s="14">
        <v>59.143859999999997</v>
      </c>
      <c r="P80" s="9">
        <v>71.782939999999996</v>
      </c>
      <c r="Q80" s="9">
        <v>74.637510000000006</v>
      </c>
      <c r="R80" s="23">
        <v>40.56118</v>
      </c>
      <c r="S80" s="8">
        <v>0.94689999999999996</v>
      </c>
      <c r="T80" s="9">
        <v>0.98482000000000003</v>
      </c>
      <c r="U80" s="24">
        <v>0.36873</v>
      </c>
    </row>
    <row r="81" spans="1:21" ht="12" customHeight="1" x14ac:dyDescent="0.25">
      <c r="A81" s="5">
        <v>279</v>
      </c>
      <c r="B81" s="19" t="s">
        <v>65</v>
      </c>
      <c r="C81" s="19" t="s">
        <v>12</v>
      </c>
      <c r="D81" s="5" t="s">
        <v>66</v>
      </c>
      <c r="E81" s="6">
        <v>367136.44445236999</v>
      </c>
      <c r="F81" s="6">
        <v>6548413.9431565003</v>
      </c>
      <c r="G81" s="7" t="str">
        <f>HYPERLINK("https://minkarta.lantmateriet.se/?e=367136,44445237&amp;n=6548413,9431565&amp;z=12&amp;profile=flygbildmedgranser&amp;background=2&amp;boundaries=true","Visa")</f>
        <v>Visa</v>
      </c>
      <c r="H81" s="5" t="s">
        <v>8</v>
      </c>
      <c r="I81" s="8">
        <v>51.6297</v>
      </c>
      <c r="J81" s="9">
        <v>64.818860000000001</v>
      </c>
      <c r="K81" s="9">
        <v>66.272829999999999</v>
      </c>
      <c r="L81" s="14">
        <v>52.637169999999998</v>
      </c>
      <c r="M81" s="9">
        <v>65.318359999999998</v>
      </c>
      <c r="N81" s="9">
        <v>68.789019999999994</v>
      </c>
      <c r="O81" s="14">
        <v>53.556559999999998</v>
      </c>
      <c r="P81" s="9">
        <v>66.303179999999998</v>
      </c>
      <c r="Q81" s="9">
        <v>69.157749999999993</v>
      </c>
      <c r="R81" s="23">
        <v>34.917140000000003</v>
      </c>
      <c r="S81" s="8">
        <v>0.91939000000000004</v>
      </c>
      <c r="T81" s="9">
        <v>0.98482000000000003</v>
      </c>
      <c r="U81" s="24">
        <v>0.36873</v>
      </c>
    </row>
    <row r="82" spans="1:21" ht="12" customHeight="1" x14ac:dyDescent="0.25">
      <c r="A82" s="5">
        <v>280</v>
      </c>
      <c r="B82" s="19" t="s">
        <v>65</v>
      </c>
      <c r="C82" s="19" t="s">
        <v>12</v>
      </c>
      <c r="D82" s="5" t="s">
        <v>66</v>
      </c>
      <c r="E82" s="6">
        <v>367136.23234908999</v>
      </c>
      <c r="F82" s="6">
        <v>6548422.2454516999</v>
      </c>
      <c r="G82" s="7" t="str">
        <f>HYPERLINK("https://minkarta.lantmateriet.se/?e=367136,23234909&amp;n=6548422,2454517&amp;z=12&amp;profile=flygbildmedgranser&amp;background=2&amp;boundaries=true","Visa")</f>
        <v>Visa</v>
      </c>
      <c r="H82" s="5" t="s">
        <v>9</v>
      </c>
      <c r="I82" s="8">
        <v>36.838859999999997</v>
      </c>
      <c r="J82" s="9">
        <v>46.012749999999997</v>
      </c>
      <c r="K82" s="9">
        <v>47.466720000000002</v>
      </c>
      <c r="L82" s="14">
        <v>37.777769999999997</v>
      </c>
      <c r="M82" s="9">
        <v>46.512250000000002</v>
      </c>
      <c r="N82" s="9">
        <v>49.982909999999997</v>
      </c>
      <c r="O82" s="14">
        <v>37.992449999999998</v>
      </c>
      <c r="P82" s="9">
        <v>47.510190000000001</v>
      </c>
      <c r="Q82" s="9">
        <v>50.364759999999997</v>
      </c>
      <c r="R82" s="23">
        <v>28.579080000000001</v>
      </c>
      <c r="S82" s="8">
        <v>0.21468000000000001</v>
      </c>
      <c r="T82" s="9">
        <v>0.99794000000000005</v>
      </c>
      <c r="U82" s="24">
        <v>0.38185000000000002</v>
      </c>
    </row>
    <row r="83" spans="1:21" ht="12" customHeight="1" x14ac:dyDescent="0.25">
      <c r="A83" s="5">
        <v>281</v>
      </c>
      <c r="B83" s="19" t="s">
        <v>65</v>
      </c>
      <c r="C83" s="19" t="s">
        <v>12</v>
      </c>
      <c r="D83" s="5" t="s">
        <v>66</v>
      </c>
      <c r="E83" s="6">
        <v>367128.64005041</v>
      </c>
      <c r="F83" s="6">
        <v>6548418.8813487003</v>
      </c>
      <c r="G83" s="7" t="str">
        <f>HYPERLINK("https://minkarta.lantmateriet.se/?e=367128,64005041&amp;n=6548418,8813487&amp;z=12&amp;profile=flygbildmedgranser&amp;background=2&amp;boundaries=true","Visa")</f>
        <v>Visa</v>
      </c>
      <c r="H83" s="5" t="s">
        <v>10</v>
      </c>
      <c r="I83" s="8">
        <v>43.839750000000002</v>
      </c>
      <c r="J83" s="9">
        <v>59.863990000000001</v>
      </c>
      <c r="K83" s="9">
        <v>61.317959999999999</v>
      </c>
      <c r="L83" s="14">
        <v>44.83305</v>
      </c>
      <c r="M83" s="9">
        <v>60.363489999999999</v>
      </c>
      <c r="N83" s="9">
        <v>63.834139999999998</v>
      </c>
      <c r="O83" s="14">
        <v>45.491190000000003</v>
      </c>
      <c r="P83" s="9">
        <v>61.348300000000002</v>
      </c>
      <c r="Q83" s="9">
        <v>64.202879999999993</v>
      </c>
      <c r="R83" s="23">
        <v>34.499499999999998</v>
      </c>
      <c r="S83" s="8">
        <v>0.65813999999999995</v>
      </c>
      <c r="T83" s="9">
        <v>0.98480999999999996</v>
      </c>
      <c r="U83" s="24">
        <v>0.36874000000000001</v>
      </c>
    </row>
    <row r="84" spans="1:21" ht="12" customHeight="1" x14ac:dyDescent="0.25">
      <c r="A84" s="5">
        <v>282</v>
      </c>
      <c r="B84" s="19" t="s">
        <v>65</v>
      </c>
      <c r="C84" s="19" t="s">
        <v>12</v>
      </c>
      <c r="D84" s="5" t="s">
        <v>66</v>
      </c>
      <c r="E84" s="6">
        <v>367128.85215514997</v>
      </c>
      <c r="F84" s="6">
        <v>6548410.5790509004</v>
      </c>
      <c r="G84" s="7" t="str">
        <f>HYPERLINK("https://minkarta.lantmateriet.se/?e=367128,85215515&amp;n=6548410,5790509&amp;z=12&amp;profile=flygbildmedgranser&amp;background=2&amp;boundaries=true","Visa")</f>
        <v>Visa</v>
      </c>
      <c r="H84" s="5" t="s">
        <v>11</v>
      </c>
      <c r="I84" s="8">
        <v>57.216520000000003</v>
      </c>
      <c r="J84" s="9">
        <v>70.199299999999994</v>
      </c>
      <c r="K84" s="9">
        <v>71.653270000000006</v>
      </c>
      <c r="L84" s="14">
        <v>58.232469999999999</v>
      </c>
      <c r="M84" s="9">
        <v>70.698800000000006</v>
      </c>
      <c r="N84" s="9">
        <v>74.169460000000001</v>
      </c>
      <c r="O84" s="14">
        <v>59.176969999999997</v>
      </c>
      <c r="P84" s="9">
        <v>71.683620000000005</v>
      </c>
      <c r="Q84" s="9">
        <v>74.53819</v>
      </c>
      <c r="R84" s="23">
        <v>41.270980000000002</v>
      </c>
      <c r="S84" s="8">
        <v>0.94450000000000001</v>
      </c>
      <c r="T84" s="9">
        <v>0.98482000000000003</v>
      </c>
      <c r="U84" s="24">
        <v>0.36873</v>
      </c>
    </row>
    <row r="85" spans="1:21" ht="12" customHeight="1" x14ac:dyDescent="0.25">
      <c r="A85" s="5">
        <v>284</v>
      </c>
      <c r="B85" s="19" t="s">
        <v>67</v>
      </c>
      <c r="C85" s="19" t="s">
        <v>12</v>
      </c>
      <c r="D85" s="5" t="s">
        <v>68</v>
      </c>
      <c r="E85" s="6">
        <v>367115.94587607001</v>
      </c>
      <c r="F85" s="6">
        <v>6548437.8569345996</v>
      </c>
      <c r="G85" s="7" t="str">
        <f>HYPERLINK("https://minkarta.lantmateriet.se/?e=367115,94587607&amp;n=6548437,8569346&amp;z=12&amp;profile=flygbildmedgranser&amp;background=2&amp;boundaries=true","Visa")</f>
        <v>Visa</v>
      </c>
      <c r="H85" s="5" t="s">
        <v>9</v>
      </c>
      <c r="I85" s="8">
        <v>37.262909999999998</v>
      </c>
      <c r="J85" s="9">
        <v>47.020609999999998</v>
      </c>
      <c r="K85" s="9">
        <v>48.474580000000003</v>
      </c>
      <c r="L85" s="14">
        <v>38.22439</v>
      </c>
      <c r="M85" s="9">
        <v>47.520110000000003</v>
      </c>
      <c r="N85" s="9">
        <v>50.990769999999998</v>
      </c>
      <c r="O85" s="14">
        <v>38.67503</v>
      </c>
      <c r="P85" s="9">
        <v>48.504930000000002</v>
      </c>
      <c r="Q85" s="9">
        <v>51.359499999999997</v>
      </c>
      <c r="R85" s="23">
        <v>27.720690000000001</v>
      </c>
      <c r="S85" s="8">
        <v>0.45063999999999999</v>
      </c>
      <c r="T85" s="9">
        <v>0.98482000000000003</v>
      </c>
      <c r="U85" s="24">
        <v>0.36873</v>
      </c>
    </row>
    <row r="86" spans="1:21" ht="12" customHeight="1" x14ac:dyDescent="0.25">
      <c r="A86" s="5">
        <v>285</v>
      </c>
      <c r="B86" s="19" t="s">
        <v>67</v>
      </c>
      <c r="C86" s="19" t="s">
        <v>12</v>
      </c>
      <c r="D86" s="5" t="s">
        <v>68</v>
      </c>
      <c r="E86" s="6">
        <v>367107.36806895002</v>
      </c>
      <c r="F86" s="6">
        <v>6548437.9578779005</v>
      </c>
      <c r="G86" s="7" t="str">
        <f>HYPERLINK("https://minkarta.lantmateriet.se/?e=367107,36806895&amp;n=6548437,9578779&amp;z=12&amp;profile=flygbildmedgranser&amp;background=2&amp;boundaries=true","Visa")</f>
        <v>Visa</v>
      </c>
      <c r="H86" s="5" t="s">
        <v>10</v>
      </c>
      <c r="I86" s="8">
        <v>47.70393</v>
      </c>
      <c r="J86" s="9">
        <v>62.139789999999998</v>
      </c>
      <c r="K86" s="9">
        <v>63.593760000000003</v>
      </c>
      <c r="L86" s="14">
        <v>48.732500000000002</v>
      </c>
      <c r="M86" s="9">
        <v>62.639290000000003</v>
      </c>
      <c r="N86" s="9">
        <v>66.109949999999998</v>
      </c>
      <c r="O86" s="14">
        <v>49.621749999999999</v>
      </c>
      <c r="P86" s="9">
        <v>63.624110000000002</v>
      </c>
      <c r="Q86" s="9">
        <v>66.478679999999997</v>
      </c>
      <c r="R86" s="23">
        <v>34.235779999999998</v>
      </c>
      <c r="S86" s="8">
        <v>0.88924999999999998</v>
      </c>
      <c r="T86" s="9">
        <v>0.98482000000000003</v>
      </c>
      <c r="U86" s="24">
        <v>0.36873</v>
      </c>
    </row>
    <row r="87" spans="1:21" ht="12" customHeight="1" x14ac:dyDescent="0.25">
      <c r="A87" s="5">
        <v>286</v>
      </c>
      <c r="B87" s="19" t="s">
        <v>67</v>
      </c>
      <c r="C87" s="19" t="s">
        <v>12</v>
      </c>
      <c r="D87" s="5" t="s">
        <v>68</v>
      </c>
      <c r="E87" s="6">
        <v>367111.08012544998</v>
      </c>
      <c r="F87" s="6">
        <v>6548430.2245696997</v>
      </c>
      <c r="G87" s="7" t="str">
        <f>HYPERLINK("https://minkarta.lantmateriet.se/?e=367111,08012545&amp;n=6548430,2245697&amp;z=12&amp;profile=flygbildmedgranser&amp;background=2&amp;boundaries=true","Visa")</f>
        <v>Visa</v>
      </c>
      <c r="H87" s="5" t="s">
        <v>11</v>
      </c>
      <c r="I87" s="8">
        <v>53.72343</v>
      </c>
      <c r="J87" s="9">
        <v>64.818399999999997</v>
      </c>
      <c r="K87" s="9">
        <v>66.272360000000006</v>
      </c>
      <c r="L87" s="14">
        <v>54.744750000000003</v>
      </c>
      <c r="M87" s="9">
        <v>65.317890000000006</v>
      </c>
      <c r="N87" s="9">
        <v>68.788550000000001</v>
      </c>
      <c r="O87" s="14">
        <v>55.683570000000003</v>
      </c>
      <c r="P87" s="9">
        <v>66.302710000000005</v>
      </c>
      <c r="Q87" s="9">
        <v>69.157290000000003</v>
      </c>
      <c r="R87" s="23">
        <v>41.469580000000001</v>
      </c>
      <c r="S87" s="8">
        <v>0.93881999999999999</v>
      </c>
      <c r="T87" s="9">
        <v>0.98482000000000003</v>
      </c>
      <c r="U87" s="24">
        <v>0.36874000000000001</v>
      </c>
    </row>
    <row r="88" spans="1:21" ht="12" customHeight="1" x14ac:dyDescent="0.25">
      <c r="A88" s="5">
        <v>287</v>
      </c>
      <c r="B88" s="19" t="s">
        <v>69</v>
      </c>
      <c r="C88" s="19" t="s">
        <v>12</v>
      </c>
      <c r="D88" s="5" t="s">
        <v>70</v>
      </c>
      <c r="E88" s="6">
        <v>367081.99410736002</v>
      </c>
      <c r="F88" s="6">
        <v>6548440.8445188999</v>
      </c>
      <c r="G88" s="7" t="str">
        <f>HYPERLINK("https://minkarta.lantmateriet.se/?e=367081,99410736&amp;n=6548440,8445189&amp;z=12&amp;profile=flygbildmedgranser&amp;background=2&amp;boundaries=true","Visa")</f>
        <v>Visa</v>
      </c>
      <c r="H88" s="5" t="s">
        <v>11</v>
      </c>
      <c r="I88" s="8">
        <v>57.599350000000001</v>
      </c>
      <c r="J88" s="9">
        <v>69.942279999999997</v>
      </c>
      <c r="K88" s="9">
        <v>71.396240000000006</v>
      </c>
      <c r="L88" s="14">
        <v>58.627000000000002</v>
      </c>
      <c r="M88" s="9">
        <v>70.441770000000005</v>
      </c>
      <c r="N88" s="9">
        <v>73.912430000000001</v>
      </c>
      <c r="O88" s="14">
        <v>59.570529999999998</v>
      </c>
      <c r="P88" s="9">
        <v>71.426590000000004</v>
      </c>
      <c r="Q88" s="9">
        <v>74.281170000000003</v>
      </c>
      <c r="R88" s="23">
        <v>43.271920000000001</v>
      </c>
      <c r="S88" s="8">
        <v>0.94352999999999998</v>
      </c>
      <c r="T88" s="9">
        <v>0.98482000000000003</v>
      </c>
      <c r="U88" s="24">
        <v>0.36874000000000001</v>
      </c>
    </row>
    <row r="89" spans="1:21" ht="12" customHeight="1" x14ac:dyDescent="0.25">
      <c r="A89" s="5">
        <v>288</v>
      </c>
      <c r="B89" s="19" t="s">
        <v>69</v>
      </c>
      <c r="C89" s="19" t="s">
        <v>12</v>
      </c>
      <c r="D89" s="5" t="s">
        <v>70</v>
      </c>
      <c r="E89" s="6">
        <v>367090.60748417</v>
      </c>
      <c r="F89" s="6">
        <v>6548441.6356084999</v>
      </c>
      <c r="G89" s="7" t="str">
        <f>HYPERLINK("https://minkarta.lantmateriet.se/?e=367090,60748417&amp;n=6548441,6356085&amp;z=12&amp;profile=flygbildmedgranser&amp;background=2&amp;boundaries=true","Visa")</f>
        <v>Visa</v>
      </c>
      <c r="H89" s="5" t="s">
        <v>8</v>
      </c>
      <c r="I89" s="8">
        <v>52.345959999999998</v>
      </c>
      <c r="J89" s="9">
        <v>66.040809999999993</v>
      </c>
      <c r="K89" s="9">
        <v>67.494770000000003</v>
      </c>
      <c r="L89" s="14">
        <v>53.381459999999997</v>
      </c>
      <c r="M89" s="9">
        <v>66.540310000000005</v>
      </c>
      <c r="N89" s="9">
        <v>70.010959999999997</v>
      </c>
      <c r="O89" s="14">
        <v>54.317920000000001</v>
      </c>
      <c r="P89" s="9">
        <v>67.525120000000001</v>
      </c>
      <c r="Q89" s="9">
        <v>70.379689999999997</v>
      </c>
      <c r="R89" s="23">
        <v>26.169540000000001</v>
      </c>
      <c r="S89" s="8">
        <v>0.93645999999999996</v>
      </c>
      <c r="T89" s="9">
        <v>0.98480999999999996</v>
      </c>
      <c r="U89" s="24">
        <v>0.36873</v>
      </c>
    </row>
    <row r="90" spans="1:21" ht="12" customHeight="1" x14ac:dyDescent="0.25">
      <c r="A90" s="5">
        <v>289</v>
      </c>
      <c r="B90" s="19" t="s">
        <v>69</v>
      </c>
      <c r="C90" s="19" t="s">
        <v>12</v>
      </c>
      <c r="D90" s="5" t="s">
        <v>70</v>
      </c>
      <c r="E90" s="6">
        <v>367085.94439437002</v>
      </c>
      <c r="F90" s="6">
        <v>6548448.9199852003</v>
      </c>
      <c r="G90" s="7" t="str">
        <f>HYPERLINK("https://minkarta.lantmateriet.se/?e=367085,94439437&amp;n=6548448,9199852&amp;z=12&amp;profile=flygbildmedgranser&amp;background=2&amp;boundaries=true","Visa")</f>
        <v>Visa</v>
      </c>
      <c r="H90" s="5" t="s">
        <v>9</v>
      </c>
      <c r="I90" s="8">
        <v>41.562469999999998</v>
      </c>
      <c r="J90" s="9">
        <v>55.976210000000002</v>
      </c>
      <c r="K90" s="9">
        <v>57.43018</v>
      </c>
      <c r="L90" s="14">
        <v>42.540140000000001</v>
      </c>
      <c r="M90" s="9">
        <v>56.475709999999999</v>
      </c>
      <c r="N90" s="9">
        <v>59.946370000000002</v>
      </c>
      <c r="O90" s="14">
        <v>43.348739999999999</v>
      </c>
      <c r="P90" s="9">
        <v>57.460529999999999</v>
      </c>
      <c r="Q90" s="9">
        <v>60.315100000000001</v>
      </c>
      <c r="R90" s="23">
        <v>33.208530000000003</v>
      </c>
      <c r="S90" s="8">
        <v>0.80859999999999999</v>
      </c>
      <c r="T90" s="9">
        <v>0.98482000000000003</v>
      </c>
      <c r="U90" s="24">
        <v>0.36873</v>
      </c>
    </row>
    <row r="91" spans="1:21" ht="12" customHeight="1" x14ac:dyDescent="0.25">
      <c r="A91" s="5">
        <v>290</v>
      </c>
      <c r="B91" s="19" t="s">
        <v>69</v>
      </c>
      <c r="C91" s="19" t="s">
        <v>12</v>
      </c>
      <c r="D91" s="5" t="s">
        <v>70</v>
      </c>
      <c r="E91" s="6">
        <v>367077.33101849002</v>
      </c>
      <c r="F91" s="6">
        <v>6548448.1288967999</v>
      </c>
      <c r="G91" s="7" t="str">
        <f>HYPERLINK("https://minkarta.lantmateriet.se/?e=367077,33101849&amp;n=6548448,1288968&amp;z=12&amp;profile=flygbildmedgranser&amp;background=2&amp;boundaries=true","Visa")</f>
        <v>Visa</v>
      </c>
      <c r="H91" s="5" t="s">
        <v>10</v>
      </c>
      <c r="I91" s="8">
        <v>53.012300000000003</v>
      </c>
      <c r="J91" s="9">
        <v>67.236559999999997</v>
      </c>
      <c r="K91" s="9">
        <v>68.690520000000006</v>
      </c>
      <c r="L91" s="14">
        <v>54.019329999999997</v>
      </c>
      <c r="M91" s="9">
        <v>67.736050000000006</v>
      </c>
      <c r="N91" s="9">
        <v>71.206710000000001</v>
      </c>
      <c r="O91" s="14">
        <v>54.951369999999997</v>
      </c>
      <c r="P91" s="9">
        <v>68.720870000000005</v>
      </c>
      <c r="Q91" s="9">
        <v>71.575450000000004</v>
      </c>
      <c r="R91" s="23">
        <v>41.068739999999998</v>
      </c>
      <c r="S91" s="8">
        <v>0.93203999999999998</v>
      </c>
      <c r="T91" s="9">
        <v>0.98482000000000003</v>
      </c>
      <c r="U91" s="24">
        <v>0.36874000000000001</v>
      </c>
    </row>
    <row r="92" spans="1:21" ht="12" customHeight="1" x14ac:dyDescent="0.25">
      <c r="A92" s="5">
        <v>291</v>
      </c>
      <c r="B92" s="19" t="s">
        <v>71</v>
      </c>
      <c r="C92" s="19" t="s">
        <v>12</v>
      </c>
      <c r="D92" s="5" t="s">
        <v>72</v>
      </c>
      <c r="E92" s="6">
        <v>367067.75643373001</v>
      </c>
      <c r="F92" s="6">
        <v>6548463.1951272003</v>
      </c>
      <c r="G92" s="7" t="str">
        <f>HYPERLINK("https://minkarta.lantmateriet.se/?e=367067,75643373&amp;n=6548463,1951272&amp;z=12&amp;profile=flygbildmedgranser&amp;background=2&amp;boundaries=true","Visa")</f>
        <v>Visa</v>
      </c>
      <c r="H92" s="5" t="s">
        <v>8</v>
      </c>
      <c r="I92" s="8">
        <v>50.250120000000003</v>
      </c>
      <c r="J92" s="9">
        <v>64.328639999999993</v>
      </c>
      <c r="K92" s="9">
        <v>65.782600000000002</v>
      </c>
      <c r="L92" s="14">
        <v>51.263579999999997</v>
      </c>
      <c r="M92" s="9">
        <v>64.828130000000002</v>
      </c>
      <c r="N92" s="9">
        <v>68.298789999999997</v>
      </c>
      <c r="O92" s="14">
        <v>52.117269999999998</v>
      </c>
      <c r="P92" s="9">
        <v>65.812950000000001</v>
      </c>
      <c r="Q92" s="9">
        <v>68.667529999999999</v>
      </c>
      <c r="R92" s="23">
        <v>36.931829999999998</v>
      </c>
      <c r="S92" s="8">
        <v>0.85368999999999995</v>
      </c>
      <c r="T92" s="9">
        <v>0.98482000000000003</v>
      </c>
      <c r="U92" s="24">
        <v>0.36874000000000001</v>
      </c>
    </row>
    <row r="93" spans="1:21" ht="12" customHeight="1" x14ac:dyDescent="0.25">
      <c r="A93" s="5">
        <v>292</v>
      </c>
      <c r="B93" s="19" t="s">
        <v>71</v>
      </c>
      <c r="C93" s="19" t="s">
        <v>12</v>
      </c>
      <c r="D93" s="5" t="s">
        <v>72</v>
      </c>
      <c r="E93" s="6">
        <v>367064.05787652999</v>
      </c>
      <c r="F93" s="6">
        <v>6548470.9109343002</v>
      </c>
      <c r="G93" s="7" t="str">
        <f>HYPERLINK("https://minkarta.lantmateriet.se/?e=367064,05787653&amp;n=6548470,9109343&amp;z=12&amp;profile=flygbildmedgranser&amp;background=2&amp;boundaries=true","Visa")</f>
        <v>Visa</v>
      </c>
      <c r="H93" s="5" t="s">
        <v>9</v>
      </c>
      <c r="I93" s="8">
        <v>38.012650000000001</v>
      </c>
      <c r="J93" s="9">
        <v>38.31812</v>
      </c>
      <c r="K93" s="9">
        <v>39.886870000000002</v>
      </c>
      <c r="L93" s="14">
        <v>38.942900000000002</v>
      </c>
      <c r="M93" s="9">
        <v>38.774650000000001</v>
      </c>
      <c r="N93" s="9">
        <v>40.769480000000001</v>
      </c>
      <c r="O93" s="14">
        <v>39.301749999999998</v>
      </c>
      <c r="P93" s="9">
        <v>38.805729999999997</v>
      </c>
      <c r="Q93" s="9">
        <v>41.138210000000001</v>
      </c>
      <c r="R93" s="23">
        <v>39.710850000000001</v>
      </c>
      <c r="S93" s="8">
        <v>0.35885</v>
      </c>
      <c r="T93" s="9">
        <v>3.108E-2</v>
      </c>
      <c r="U93" s="24">
        <v>0.36873</v>
      </c>
    </row>
    <row r="94" spans="1:21" ht="12" customHeight="1" x14ac:dyDescent="0.25">
      <c r="A94" s="5">
        <v>293</v>
      </c>
      <c r="B94" s="19" t="s">
        <v>71</v>
      </c>
      <c r="C94" s="19" t="s">
        <v>12</v>
      </c>
      <c r="D94" s="5" t="s">
        <v>72</v>
      </c>
      <c r="E94" s="6">
        <v>367055.50306776998</v>
      </c>
      <c r="F94" s="6">
        <v>6548471.0068760999</v>
      </c>
      <c r="G94" s="7" t="str">
        <f>HYPERLINK("https://minkarta.lantmateriet.se/?e=367055,50306777&amp;n=6548471,0068761&amp;z=12&amp;profile=flygbildmedgranser&amp;background=2&amp;boundaries=true","Visa")</f>
        <v>Visa</v>
      </c>
      <c r="H94" s="5" t="s">
        <v>10</v>
      </c>
      <c r="I94" s="8">
        <v>39.826770000000003</v>
      </c>
      <c r="J94" s="9">
        <v>45.362400000000001</v>
      </c>
      <c r="K94" s="9">
        <v>46.816360000000003</v>
      </c>
      <c r="L94" s="14">
        <v>40.756920000000001</v>
      </c>
      <c r="M94" s="9">
        <v>45.861890000000002</v>
      </c>
      <c r="N94" s="9">
        <v>49.332549999999998</v>
      </c>
      <c r="O94" s="14">
        <v>40.977789999999999</v>
      </c>
      <c r="P94" s="9">
        <v>46.846710000000002</v>
      </c>
      <c r="Q94" s="9">
        <v>49.70129</v>
      </c>
      <c r="R94" s="23">
        <v>39.513039999999997</v>
      </c>
      <c r="S94" s="8">
        <v>0.22087000000000001</v>
      </c>
      <c r="T94" s="9">
        <v>0.98482000000000003</v>
      </c>
      <c r="U94" s="24">
        <v>0.36874000000000001</v>
      </c>
    </row>
    <row r="95" spans="1:21" ht="12" customHeight="1" x14ac:dyDescent="0.25">
      <c r="A95" s="5">
        <v>295</v>
      </c>
      <c r="B95" s="19" t="s">
        <v>73</v>
      </c>
      <c r="C95" s="19" t="s">
        <v>12</v>
      </c>
      <c r="D95" s="5" t="s">
        <v>74</v>
      </c>
      <c r="E95" s="6">
        <v>367048.76693578</v>
      </c>
      <c r="F95" s="6">
        <v>6548475.3091304004</v>
      </c>
      <c r="G95" s="7" t="str">
        <f>HYPERLINK("https://minkarta.lantmateriet.se/?e=367048,76693578&amp;n=6548475,3091304&amp;z=12&amp;profile=flygbildmedgranser&amp;background=2&amp;boundaries=true","Visa")</f>
        <v>Visa</v>
      </c>
      <c r="H95" s="5" t="s">
        <v>8</v>
      </c>
      <c r="I95" s="8">
        <v>40.39508</v>
      </c>
      <c r="J95" s="9">
        <v>45.794910000000002</v>
      </c>
      <c r="K95" s="9">
        <v>47.248869999999997</v>
      </c>
      <c r="L95" s="14">
        <v>41.333759999999998</v>
      </c>
      <c r="M95" s="9">
        <v>46.294409999999999</v>
      </c>
      <c r="N95" s="9">
        <v>49.765059999999998</v>
      </c>
      <c r="O95" s="14">
        <v>41.774120000000003</v>
      </c>
      <c r="P95" s="9">
        <v>47.279420000000002</v>
      </c>
      <c r="Q95" s="9">
        <v>50.134</v>
      </c>
      <c r="R95" s="23">
        <v>29.062989999999999</v>
      </c>
      <c r="S95" s="8">
        <v>0.44035999999999997</v>
      </c>
      <c r="T95" s="9">
        <v>0.98501000000000005</v>
      </c>
      <c r="U95" s="24">
        <v>0.36893999999999999</v>
      </c>
    </row>
    <row r="96" spans="1:21" ht="12" customHeight="1" x14ac:dyDescent="0.25">
      <c r="A96" s="5">
        <v>296</v>
      </c>
      <c r="B96" s="19" t="s">
        <v>73</v>
      </c>
      <c r="C96" s="19" t="s">
        <v>12</v>
      </c>
      <c r="D96" s="5" t="s">
        <v>74</v>
      </c>
      <c r="E96" s="6">
        <v>367045.06687278999</v>
      </c>
      <c r="F96" s="6">
        <v>6548483.0109366998</v>
      </c>
      <c r="G96" s="7" t="str">
        <f>HYPERLINK("https://minkarta.lantmateriet.se/?e=367045,06687279&amp;n=6548483,0109367&amp;z=12&amp;profile=flygbildmedgranser&amp;background=2&amp;boundaries=true","Visa")</f>
        <v>Visa</v>
      </c>
      <c r="H96" s="5" t="s">
        <v>9</v>
      </c>
      <c r="I96" s="8">
        <v>37.120069999999998</v>
      </c>
      <c r="J96" s="9">
        <v>44.496290000000002</v>
      </c>
      <c r="K96" s="9">
        <v>45.95026</v>
      </c>
      <c r="L96" s="14">
        <v>38.044330000000002</v>
      </c>
      <c r="M96" s="9">
        <v>44.99579</v>
      </c>
      <c r="N96" s="9">
        <v>48.466450000000002</v>
      </c>
      <c r="O96" s="14">
        <v>38.399250000000002</v>
      </c>
      <c r="P96" s="9">
        <v>45.980609999999999</v>
      </c>
      <c r="Q96" s="9">
        <v>48.835180000000001</v>
      </c>
      <c r="R96" s="23">
        <v>37.925289999999997</v>
      </c>
      <c r="S96" s="8">
        <v>0.35492000000000001</v>
      </c>
      <c r="T96" s="9">
        <v>0.98482000000000003</v>
      </c>
      <c r="U96" s="24">
        <v>0.36873</v>
      </c>
    </row>
    <row r="97" spans="1:21" ht="12" customHeight="1" x14ac:dyDescent="0.25">
      <c r="A97" s="5">
        <v>297</v>
      </c>
      <c r="B97" s="19" t="s">
        <v>73</v>
      </c>
      <c r="C97" s="19" t="s">
        <v>12</v>
      </c>
      <c r="D97" s="5" t="s">
        <v>74</v>
      </c>
      <c r="E97" s="6">
        <v>367036.52306654002</v>
      </c>
      <c r="F97" s="6">
        <v>6548483.1073741</v>
      </c>
      <c r="G97" s="7" t="str">
        <f>HYPERLINK("https://minkarta.lantmateriet.se/?e=367036,52306654&amp;n=6548483,1073741&amp;z=12&amp;profile=flygbildmedgranser&amp;background=2&amp;boundaries=true","Visa")</f>
        <v>Visa</v>
      </c>
      <c r="H97" s="5" t="s">
        <v>10</v>
      </c>
      <c r="I97" s="8">
        <v>48.652569999999997</v>
      </c>
      <c r="J97" s="9">
        <v>63.118749999999999</v>
      </c>
      <c r="K97" s="9">
        <v>64.572720000000004</v>
      </c>
      <c r="L97" s="14">
        <v>49.60971</v>
      </c>
      <c r="M97" s="9">
        <v>63.618250000000003</v>
      </c>
      <c r="N97" s="9">
        <v>67.088909999999998</v>
      </c>
      <c r="O97" s="14">
        <v>50.496969999999997</v>
      </c>
      <c r="P97" s="9">
        <v>64.603070000000002</v>
      </c>
      <c r="Q97" s="9">
        <v>67.457639999999998</v>
      </c>
      <c r="R97" s="23">
        <v>43.564700000000002</v>
      </c>
      <c r="S97" s="8">
        <v>0.88726000000000005</v>
      </c>
      <c r="T97" s="9">
        <v>0.98482000000000003</v>
      </c>
      <c r="U97" s="24">
        <v>0.36873</v>
      </c>
    </row>
    <row r="98" spans="1:21" ht="12" customHeight="1" x14ac:dyDescent="0.25">
      <c r="A98" s="5">
        <v>298</v>
      </c>
      <c r="B98" s="19" t="s">
        <v>73</v>
      </c>
      <c r="C98" s="19" t="s">
        <v>12</v>
      </c>
      <c r="D98" s="5" t="s">
        <v>74</v>
      </c>
      <c r="E98" s="6">
        <v>367040.22312872001</v>
      </c>
      <c r="F98" s="6">
        <v>6548475.4055676004</v>
      </c>
      <c r="G98" s="7" t="str">
        <f>HYPERLINK("https://minkarta.lantmateriet.se/?e=367040,22312872&amp;n=6548475,4055676&amp;z=12&amp;profile=flygbildmedgranser&amp;background=2&amp;boundaries=true","Visa")</f>
        <v>Visa</v>
      </c>
      <c r="H98" s="5" t="s">
        <v>11</v>
      </c>
      <c r="I98" s="8">
        <v>53.236519999999999</v>
      </c>
      <c r="J98" s="9">
        <v>67.4435</v>
      </c>
      <c r="K98" s="9">
        <v>68.897459999999995</v>
      </c>
      <c r="L98" s="14">
        <v>54.241570000000003</v>
      </c>
      <c r="M98" s="9">
        <v>67.942989999999995</v>
      </c>
      <c r="N98" s="9">
        <v>71.413650000000004</v>
      </c>
      <c r="O98" s="14">
        <v>55.136589999999998</v>
      </c>
      <c r="P98" s="9">
        <v>68.927809999999994</v>
      </c>
      <c r="Q98" s="9">
        <v>71.782390000000007</v>
      </c>
      <c r="R98" s="23">
        <v>33.168680000000002</v>
      </c>
      <c r="S98" s="8">
        <v>0.89502000000000004</v>
      </c>
      <c r="T98" s="9">
        <v>0.98482000000000003</v>
      </c>
      <c r="U98" s="24">
        <v>0.36874000000000001</v>
      </c>
    </row>
    <row r="99" spans="1:21" ht="12" customHeight="1" x14ac:dyDescent="0.25">
      <c r="A99" s="5">
        <v>299</v>
      </c>
      <c r="B99" s="19" t="s">
        <v>75</v>
      </c>
      <c r="C99" s="19" t="s">
        <v>12</v>
      </c>
      <c r="D99" s="5" t="s">
        <v>76</v>
      </c>
      <c r="E99" s="6">
        <v>367028.16244203999</v>
      </c>
      <c r="F99" s="6">
        <v>6548488.5976401996</v>
      </c>
      <c r="G99" s="7" t="str">
        <f>HYPERLINK("https://minkarta.lantmateriet.se/?e=367028,16244204&amp;n=6548488,5976402&amp;z=12&amp;profile=flygbildmedgranser&amp;background=2&amp;boundaries=true","Visa")</f>
        <v>Visa</v>
      </c>
      <c r="H99" s="5" t="s">
        <v>8</v>
      </c>
      <c r="I99" s="8">
        <v>41.467219999999998</v>
      </c>
      <c r="J99" s="9">
        <v>46.404580000000003</v>
      </c>
      <c r="K99" s="9">
        <v>47.858550000000001</v>
      </c>
      <c r="L99" s="14">
        <v>42.404049999999998</v>
      </c>
      <c r="M99" s="9">
        <v>46.90408</v>
      </c>
      <c r="N99" s="9">
        <v>50.374740000000003</v>
      </c>
      <c r="O99" s="14">
        <v>42.929839999999999</v>
      </c>
      <c r="P99" s="9">
        <v>47.88447</v>
      </c>
      <c r="Q99" s="9">
        <v>50.739049999999999</v>
      </c>
      <c r="R99" s="23">
        <v>35.155090000000001</v>
      </c>
      <c r="S99" s="8">
        <v>0.52578999999999998</v>
      </c>
      <c r="T99" s="9">
        <v>0.98038999999999998</v>
      </c>
      <c r="U99" s="24">
        <v>0.36431000000000002</v>
      </c>
    </row>
    <row r="100" spans="1:21" ht="12" customHeight="1" x14ac:dyDescent="0.25">
      <c r="A100" s="5">
        <v>300</v>
      </c>
      <c r="B100" s="19" t="s">
        <v>75</v>
      </c>
      <c r="C100" s="19" t="s">
        <v>12</v>
      </c>
      <c r="D100" s="5" t="s">
        <v>76</v>
      </c>
      <c r="E100" s="6">
        <v>367024.44386175001</v>
      </c>
      <c r="F100" s="6">
        <v>6548496.2644437002</v>
      </c>
      <c r="G100" s="7" t="str">
        <f>HYPERLINK("https://minkarta.lantmateriet.se/?e=367024,44386175&amp;n=6548496,2644437&amp;z=12&amp;profile=flygbildmedgranser&amp;background=2&amp;boundaries=true","Visa")</f>
        <v>Visa</v>
      </c>
      <c r="H100" s="5" t="s">
        <v>9</v>
      </c>
      <c r="I100" s="8">
        <v>39.17597</v>
      </c>
      <c r="J100" s="9">
        <v>46.498629999999999</v>
      </c>
      <c r="K100" s="9">
        <v>47.952590000000001</v>
      </c>
      <c r="L100" s="14">
        <v>40.104239999999997</v>
      </c>
      <c r="M100" s="9">
        <v>46.99812</v>
      </c>
      <c r="N100" s="9">
        <v>50.468780000000002</v>
      </c>
      <c r="O100" s="14">
        <v>40.815359999999998</v>
      </c>
      <c r="P100" s="9">
        <v>47.982939999999999</v>
      </c>
      <c r="Q100" s="9">
        <v>50.837519999999998</v>
      </c>
      <c r="R100" s="23">
        <v>43.11139</v>
      </c>
      <c r="S100" s="8">
        <v>0.71111999999999997</v>
      </c>
      <c r="T100" s="9">
        <v>0.98482000000000003</v>
      </c>
      <c r="U100" s="24">
        <v>0.36874000000000001</v>
      </c>
    </row>
    <row r="101" spans="1:21" ht="12" customHeight="1" x14ac:dyDescent="0.25">
      <c r="A101" s="5">
        <v>301</v>
      </c>
      <c r="B101" s="19" t="s">
        <v>75</v>
      </c>
      <c r="C101" s="19" t="s">
        <v>12</v>
      </c>
      <c r="D101" s="5" t="s">
        <v>76</v>
      </c>
      <c r="E101" s="6">
        <v>367015.92355895002</v>
      </c>
      <c r="F101" s="6">
        <v>6548496.3703621998</v>
      </c>
      <c r="G101" s="7" t="str">
        <f>HYPERLINK("https://minkarta.lantmateriet.se/?e=367015,92355895&amp;n=6548496,3703622&amp;z=12&amp;profile=flygbildmedgranser&amp;background=2&amp;boundaries=true","Visa")</f>
        <v>Visa</v>
      </c>
      <c r="H101" s="5" t="s">
        <v>10</v>
      </c>
      <c r="I101" s="8">
        <v>49.295400000000001</v>
      </c>
      <c r="J101" s="9">
        <v>64.4071</v>
      </c>
      <c r="K101" s="9">
        <v>65.861069999999998</v>
      </c>
      <c r="L101" s="14">
        <v>50.239960000000004</v>
      </c>
      <c r="M101" s="9">
        <v>64.906599999999997</v>
      </c>
      <c r="N101" s="9">
        <v>68.377260000000007</v>
      </c>
      <c r="O101" s="14">
        <v>51.205370000000002</v>
      </c>
      <c r="P101" s="9">
        <v>65.891419999999997</v>
      </c>
      <c r="Q101" s="9">
        <v>68.745990000000006</v>
      </c>
      <c r="R101" s="23">
        <v>46.825060000000001</v>
      </c>
      <c r="S101" s="8">
        <v>0.96540999999999999</v>
      </c>
      <c r="T101" s="9">
        <v>0.98482000000000003</v>
      </c>
      <c r="U101" s="24">
        <v>0.36873</v>
      </c>
    </row>
    <row r="102" spans="1:21" ht="12" customHeight="1" x14ac:dyDescent="0.25">
      <c r="A102" s="5">
        <v>302</v>
      </c>
      <c r="B102" s="19" t="s">
        <v>75</v>
      </c>
      <c r="C102" s="19" t="s">
        <v>12</v>
      </c>
      <c r="D102" s="5" t="s">
        <v>76</v>
      </c>
      <c r="E102" s="6">
        <v>367019.64213961997</v>
      </c>
      <c r="F102" s="6">
        <v>6548488.7035606997</v>
      </c>
      <c r="G102" s="7" t="str">
        <f>HYPERLINK("https://minkarta.lantmateriet.se/?e=367019,64213962&amp;n=6548488,7035607&amp;z=12&amp;profile=flygbildmedgranser&amp;background=2&amp;boundaries=true","Visa")</f>
        <v>Visa</v>
      </c>
      <c r="H102" s="5" t="s">
        <v>11</v>
      </c>
      <c r="I102" s="8">
        <v>53.529380000000003</v>
      </c>
      <c r="J102" s="9">
        <v>65.734849999999994</v>
      </c>
      <c r="K102" s="9">
        <v>67.188810000000004</v>
      </c>
      <c r="L102" s="14">
        <v>54.49091</v>
      </c>
      <c r="M102" s="9">
        <v>66.234340000000003</v>
      </c>
      <c r="N102" s="9">
        <v>69.704999999999998</v>
      </c>
      <c r="O102" s="14">
        <v>55.399299999999997</v>
      </c>
      <c r="P102" s="9">
        <v>67.219160000000002</v>
      </c>
      <c r="Q102" s="9">
        <v>70.073740000000001</v>
      </c>
      <c r="R102" s="23">
        <v>37.985709999999997</v>
      </c>
      <c r="S102" s="8">
        <v>0.90839000000000003</v>
      </c>
      <c r="T102" s="9">
        <v>0.98482000000000003</v>
      </c>
      <c r="U102" s="24">
        <v>0.36874000000000001</v>
      </c>
    </row>
    <row r="103" spans="1:21" ht="12" customHeight="1" x14ac:dyDescent="0.25">
      <c r="A103" s="5">
        <v>303</v>
      </c>
      <c r="B103" s="19" t="s">
        <v>77</v>
      </c>
      <c r="C103" s="19" t="s">
        <v>12</v>
      </c>
      <c r="D103" s="5" t="s">
        <v>78</v>
      </c>
      <c r="E103" s="6">
        <v>366996.00511448999</v>
      </c>
      <c r="F103" s="6">
        <v>6548502.8245767001</v>
      </c>
      <c r="G103" s="7" t="str">
        <f>HYPERLINK("https://minkarta.lantmateriet.se/?e=366996,00511449&amp;n=6548502,8245767&amp;z=12&amp;profile=flygbildmedgranser&amp;background=2&amp;boundaries=true","Visa")</f>
        <v>Visa</v>
      </c>
      <c r="H103" s="5" t="s">
        <v>11</v>
      </c>
      <c r="I103" s="8">
        <v>54.782710000000002</v>
      </c>
      <c r="J103" s="9">
        <v>66.780510000000007</v>
      </c>
      <c r="K103" s="9">
        <v>68.234470000000002</v>
      </c>
      <c r="L103" s="14">
        <v>55.734209999999997</v>
      </c>
      <c r="M103" s="9">
        <v>67.280010000000004</v>
      </c>
      <c r="N103" s="9">
        <v>70.750659999999996</v>
      </c>
      <c r="O103" s="14">
        <v>56.725439999999999</v>
      </c>
      <c r="P103" s="9">
        <v>68.26482</v>
      </c>
      <c r="Q103" s="9">
        <v>71.119399999999999</v>
      </c>
      <c r="R103" s="23">
        <v>45.566279999999999</v>
      </c>
      <c r="S103" s="8">
        <v>0.99123000000000006</v>
      </c>
      <c r="T103" s="9">
        <v>0.98480999999999996</v>
      </c>
      <c r="U103" s="24">
        <v>0.36874000000000001</v>
      </c>
    </row>
    <row r="104" spans="1:21" ht="12" customHeight="1" x14ac:dyDescent="0.25">
      <c r="A104" s="5">
        <v>304</v>
      </c>
      <c r="B104" s="19" t="s">
        <v>77</v>
      </c>
      <c r="C104" s="19" t="s">
        <v>12</v>
      </c>
      <c r="D104" s="5" t="s">
        <v>78</v>
      </c>
      <c r="E104" s="6">
        <v>367004.59692635998</v>
      </c>
      <c r="F104" s="6">
        <v>6548502.7586155999</v>
      </c>
      <c r="G104" s="7" t="str">
        <f>HYPERLINK("https://minkarta.lantmateriet.se/?e=367004,59692636&amp;n=6548502,7586156&amp;z=12&amp;profile=flygbildmedgranser&amp;background=2&amp;boundaries=true","Visa")</f>
        <v>Visa</v>
      </c>
      <c r="H104" s="5" t="s">
        <v>8</v>
      </c>
      <c r="I104" s="8">
        <v>41.890340000000002</v>
      </c>
      <c r="J104" s="9">
        <v>46.340040000000002</v>
      </c>
      <c r="K104" s="9">
        <v>47.793999999999997</v>
      </c>
      <c r="L104" s="14">
        <v>42.852530000000002</v>
      </c>
      <c r="M104" s="9">
        <v>46.839530000000003</v>
      </c>
      <c r="N104" s="9">
        <v>50.310189999999999</v>
      </c>
      <c r="O104" s="14">
        <v>43.368070000000003</v>
      </c>
      <c r="P104" s="9">
        <v>47.824350000000003</v>
      </c>
      <c r="Q104" s="9">
        <v>50.678930000000001</v>
      </c>
      <c r="R104" s="23">
        <v>28.16452</v>
      </c>
      <c r="S104" s="8">
        <v>0.51554</v>
      </c>
      <c r="T104" s="9">
        <v>0.98482000000000003</v>
      </c>
      <c r="U104" s="24">
        <v>0.36874000000000001</v>
      </c>
    </row>
    <row r="105" spans="1:21" ht="12" customHeight="1" x14ac:dyDescent="0.25">
      <c r="A105" s="5">
        <v>305</v>
      </c>
      <c r="B105" s="19" t="s">
        <v>77</v>
      </c>
      <c r="C105" s="19" t="s">
        <v>12</v>
      </c>
      <c r="D105" s="5" t="s">
        <v>78</v>
      </c>
      <c r="E105" s="6">
        <v>367000.93138783</v>
      </c>
      <c r="F105" s="6">
        <v>6548510.5294271</v>
      </c>
      <c r="G105" s="7" t="str">
        <f>HYPERLINK("https://minkarta.lantmateriet.se/?e=367000,93138783&amp;n=6548510,5294271&amp;z=12&amp;profile=flygbildmedgranser&amp;background=2&amp;boundaries=true","Visa")</f>
        <v>Visa</v>
      </c>
      <c r="H105" s="5" t="s">
        <v>9</v>
      </c>
      <c r="I105" s="8">
        <v>40.144649999999999</v>
      </c>
      <c r="J105" s="9">
        <v>46.946869999999997</v>
      </c>
      <c r="K105" s="9">
        <v>48.400829999999999</v>
      </c>
      <c r="L105" s="14">
        <v>41.082560000000001</v>
      </c>
      <c r="M105" s="9">
        <v>47.446370000000002</v>
      </c>
      <c r="N105" s="9">
        <v>50.917020000000001</v>
      </c>
      <c r="O105" s="14">
        <v>41.646349999999998</v>
      </c>
      <c r="P105" s="9">
        <v>48.431179999999998</v>
      </c>
      <c r="Q105" s="9">
        <v>51.285760000000003</v>
      </c>
      <c r="R105" s="23">
        <v>42.016509999999997</v>
      </c>
      <c r="S105" s="8">
        <v>0.56379000000000001</v>
      </c>
      <c r="T105" s="9">
        <v>0.98480999999999996</v>
      </c>
      <c r="U105" s="24">
        <v>0.36874000000000001</v>
      </c>
    </row>
    <row r="106" spans="1:21" ht="12" customHeight="1" x14ac:dyDescent="0.25">
      <c r="A106" s="5">
        <v>306</v>
      </c>
      <c r="B106" s="19" t="s">
        <v>77</v>
      </c>
      <c r="C106" s="19" t="s">
        <v>12</v>
      </c>
      <c r="D106" s="5" t="s">
        <v>78</v>
      </c>
      <c r="E106" s="6">
        <v>366992.33957613999</v>
      </c>
      <c r="F106" s="6">
        <v>6548510.5953892004</v>
      </c>
      <c r="G106" s="7" t="str">
        <f>HYPERLINK("https://minkarta.lantmateriet.se/?e=366992,33957614&amp;n=6548510,5953892&amp;z=12&amp;profile=flygbildmedgranser&amp;background=2&amp;boundaries=true","Visa")</f>
        <v>Visa</v>
      </c>
      <c r="H106" s="5" t="s">
        <v>10</v>
      </c>
      <c r="I106" s="8">
        <v>50.347790000000003</v>
      </c>
      <c r="J106" s="9">
        <v>64.852360000000004</v>
      </c>
      <c r="K106" s="9">
        <v>66.306330000000003</v>
      </c>
      <c r="L106" s="14">
        <v>51.295560000000002</v>
      </c>
      <c r="M106" s="9">
        <v>65.351860000000002</v>
      </c>
      <c r="N106" s="9">
        <v>68.822519999999997</v>
      </c>
      <c r="O106" s="14">
        <v>52.2654</v>
      </c>
      <c r="P106" s="9">
        <v>66.336680000000001</v>
      </c>
      <c r="Q106" s="9">
        <v>69.191249999999997</v>
      </c>
      <c r="R106" s="23">
        <v>45.505589999999998</v>
      </c>
      <c r="S106" s="8">
        <v>0.96984000000000004</v>
      </c>
      <c r="T106" s="9">
        <v>0.98482000000000003</v>
      </c>
      <c r="U106" s="24">
        <v>0.36873</v>
      </c>
    </row>
    <row r="107" spans="1:21" ht="12" customHeight="1" x14ac:dyDescent="0.25">
      <c r="A107" s="5">
        <v>308</v>
      </c>
      <c r="B107" s="19" t="s">
        <v>79</v>
      </c>
      <c r="C107" s="19" t="s">
        <v>12</v>
      </c>
      <c r="D107" s="5" t="s">
        <v>80</v>
      </c>
      <c r="E107" s="6">
        <v>366977.43934074999</v>
      </c>
      <c r="F107" s="6">
        <v>6548524.8309570001</v>
      </c>
      <c r="G107" s="7" t="str">
        <f>HYPERLINK("https://minkarta.lantmateriet.se/?e=366977,43934075&amp;n=6548524,830957&amp;z=12&amp;profile=flygbildmedgranser&amp;background=2&amp;boundaries=true","Visa")</f>
        <v>Visa</v>
      </c>
      <c r="H107" s="5" t="s">
        <v>9</v>
      </c>
      <c r="I107" s="8">
        <v>39.059449999999998</v>
      </c>
      <c r="J107" s="9">
        <v>47.641970000000001</v>
      </c>
      <c r="K107" s="9">
        <v>49.095930000000003</v>
      </c>
      <c r="L107" s="14">
        <v>39.977980000000002</v>
      </c>
      <c r="M107" s="9">
        <v>48.141460000000002</v>
      </c>
      <c r="N107" s="9">
        <v>51.612119999999997</v>
      </c>
      <c r="O107" s="14">
        <v>40.616570000000003</v>
      </c>
      <c r="P107" s="9">
        <v>49.126280000000001</v>
      </c>
      <c r="Q107" s="9">
        <v>51.98086</v>
      </c>
      <c r="R107" s="23">
        <v>35.158410000000003</v>
      </c>
      <c r="S107" s="8">
        <v>0.63858999999999999</v>
      </c>
      <c r="T107" s="9">
        <v>0.98482000000000003</v>
      </c>
      <c r="U107" s="24">
        <v>0.36874000000000001</v>
      </c>
    </row>
    <row r="108" spans="1:21" ht="12" customHeight="1" x14ac:dyDescent="0.25">
      <c r="A108" s="5">
        <v>309</v>
      </c>
      <c r="B108" s="19" t="s">
        <v>79</v>
      </c>
      <c r="C108" s="19" t="s">
        <v>12</v>
      </c>
      <c r="D108" s="5" t="s">
        <v>80</v>
      </c>
      <c r="E108" s="6">
        <v>366968.89004581998</v>
      </c>
      <c r="F108" s="6">
        <v>6548524.8413415002</v>
      </c>
      <c r="G108" s="7" t="str">
        <f>HYPERLINK("https://minkarta.lantmateriet.se/?e=366968,89004582&amp;n=6548524,8413415&amp;z=12&amp;profile=flygbildmedgranser&amp;background=2&amp;boundaries=true","Visa")</f>
        <v>Visa</v>
      </c>
      <c r="H108" s="5" t="s">
        <v>10</v>
      </c>
      <c r="I108" s="8">
        <v>51.227870000000003</v>
      </c>
      <c r="J108" s="9">
        <v>64.762270000000001</v>
      </c>
      <c r="K108" s="9">
        <v>66.216229999999996</v>
      </c>
      <c r="L108" s="14">
        <v>52.206699999999998</v>
      </c>
      <c r="M108" s="9">
        <v>65.261759999999995</v>
      </c>
      <c r="N108" s="9">
        <v>68.732420000000005</v>
      </c>
      <c r="O108" s="14">
        <v>53.249899999999997</v>
      </c>
      <c r="P108" s="9">
        <v>66.246579999999994</v>
      </c>
      <c r="Q108" s="9">
        <v>69.101159999999993</v>
      </c>
      <c r="R108" s="23">
        <v>47.396549999999998</v>
      </c>
      <c r="S108" s="8">
        <v>1.0431999999999999</v>
      </c>
      <c r="T108" s="9">
        <v>0.98482000000000003</v>
      </c>
      <c r="U108" s="24">
        <v>0.36874000000000001</v>
      </c>
    </row>
    <row r="109" spans="1:21" ht="12" customHeight="1" x14ac:dyDescent="0.25">
      <c r="A109" s="5">
        <v>310</v>
      </c>
      <c r="B109" s="19" t="s">
        <v>79</v>
      </c>
      <c r="C109" s="19" t="s">
        <v>12</v>
      </c>
      <c r="D109" s="5" t="s">
        <v>80</v>
      </c>
      <c r="E109" s="6">
        <v>366972.57316143002</v>
      </c>
      <c r="F109" s="6">
        <v>6548517.1265468998</v>
      </c>
      <c r="G109" s="7" t="str">
        <f>HYPERLINK("https://minkarta.lantmateriet.se/?e=366972,57316143&amp;n=6548517,1265469&amp;z=12&amp;profile=flygbildmedgranser&amp;background=2&amp;boundaries=true","Visa")</f>
        <v>Visa</v>
      </c>
      <c r="H109" s="5" t="s">
        <v>11</v>
      </c>
      <c r="I109" s="8">
        <v>55.228819999999999</v>
      </c>
      <c r="J109" s="9">
        <v>65.791070000000005</v>
      </c>
      <c r="K109" s="9">
        <v>67.24503</v>
      </c>
      <c r="L109" s="14">
        <v>56.194920000000003</v>
      </c>
      <c r="M109" s="9">
        <v>66.290570000000002</v>
      </c>
      <c r="N109" s="9">
        <v>69.761219999999994</v>
      </c>
      <c r="O109" s="14">
        <v>57.243209999999998</v>
      </c>
      <c r="P109" s="9">
        <v>67.275379999999998</v>
      </c>
      <c r="Q109" s="9">
        <v>70.129959999999997</v>
      </c>
      <c r="R109" s="23">
        <v>47.062480000000001</v>
      </c>
      <c r="S109" s="8">
        <v>1.0482899999999999</v>
      </c>
      <c r="T109" s="9">
        <v>0.98480999999999996</v>
      </c>
      <c r="U109" s="24">
        <v>0.36874000000000001</v>
      </c>
    </row>
    <row r="110" spans="1:21" ht="12" customHeight="1" x14ac:dyDescent="0.25">
      <c r="A110" s="5">
        <v>312</v>
      </c>
      <c r="B110" s="19" t="s">
        <v>81</v>
      </c>
      <c r="C110" s="19" t="s">
        <v>12</v>
      </c>
      <c r="D110" s="5" t="s">
        <v>82</v>
      </c>
      <c r="E110" s="6">
        <v>366954.01285608998</v>
      </c>
      <c r="F110" s="6">
        <v>6548539.1729472997</v>
      </c>
      <c r="G110" s="7" t="str">
        <f>HYPERLINK("https://minkarta.lantmateriet.se/?e=366954,01285609&amp;n=6548539,1729473&amp;z=12&amp;profile=flygbildmedgranser&amp;background=2&amp;boundaries=true","Visa")</f>
        <v>Visa</v>
      </c>
      <c r="H110" s="5" t="s">
        <v>9</v>
      </c>
      <c r="I110" s="8">
        <v>38.415230000000001</v>
      </c>
      <c r="J110" s="9">
        <v>47.281880000000001</v>
      </c>
      <c r="K110" s="9">
        <v>48.735840000000003</v>
      </c>
      <c r="L110" s="14">
        <v>39.333039999999997</v>
      </c>
      <c r="M110" s="9">
        <v>47.781379999999999</v>
      </c>
      <c r="N110" s="9">
        <v>51.252029999999998</v>
      </c>
      <c r="O110" s="14">
        <v>40.17653</v>
      </c>
      <c r="P110" s="9">
        <v>48.766190000000002</v>
      </c>
      <c r="Q110" s="9">
        <v>51.62077</v>
      </c>
      <c r="R110" s="23">
        <v>41.948889999999999</v>
      </c>
      <c r="S110" s="8">
        <v>0.84348999999999996</v>
      </c>
      <c r="T110" s="9">
        <v>0.98480999999999996</v>
      </c>
      <c r="U110" s="24">
        <v>0.36874000000000001</v>
      </c>
    </row>
    <row r="111" spans="1:21" ht="12" customHeight="1" x14ac:dyDescent="0.25">
      <c r="A111" s="5">
        <v>313</v>
      </c>
      <c r="B111" s="19" t="s">
        <v>81</v>
      </c>
      <c r="C111" s="19" t="s">
        <v>12</v>
      </c>
      <c r="D111" s="5" t="s">
        <v>82</v>
      </c>
      <c r="E111" s="6">
        <v>366945.53255621</v>
      </c>
      <c r="F111" s="6">
        <v>6548539.1793579003</v>
      </c>
      <c r="G111" s="7" t="str">
        <f>HYPERLINK("https://minkarta.lantmateriet.se/?e=366945,53255621&amp;n=6548539,1793579&amp;z=12&amp;profile=flygbildmedgranser&amp;background=2&amp;boundaries=true","Visa")</f>
        <v>Visa</v>
      </c>
      <c r="H111" s="5" t="s">
        <v>10</v>
      </c>
      <c r="I111" s="8">
        <v>52.944020000000002</v>
      </c>
      <c r="J111" s="9">
        <v>65.963530000000006</v>
      </c>
      <c r="K111" s="9">
        <v>67.417500000000004</v>
      </c>
      <c r="L111" s="14">
        <v>53.959429999999998</v>
      </c>
      <c r="M111" s="9">
        <v>66.463030000000003</v>
      </c>
      <c r="N111" s="9">
        <v>69.933689999999999</v>
      </c>
      <c r="O111" s="14">
        <v>55.168019999999999</v>
      </c>
      <c r="P111" s="9">
        <v>67.447850000000003</v>
      </c>
      <c r="Q111" s="9">
        <v>70.302419999999998</v>
      </c>
      <c r="R111" s="23">
        <v>49.468919999999997</v>
      </c>
      <c r="S111" s="8">
        <v>1.2085900000000001</v>
      </c>
      <c r="T111" s="9">
        <v>0.98482000000000003</v>
      </c>
      <c r="U111" s="24">
        <v>0.36873</v>
      </c>
    </row>
    <row r="112" spans="1:21" ht="12" customHeight="1" x14ac:dyDescent="0.25">
      <c r="A112" s="5">
        <v>314</v>
      </c>
      <c r="B112" s="19" t="s">
        <v>81</v>
      </c>
      <c r="C112" s="19" t="s">
        <v>12</v>
      </c>
      <c r="D112" s="5" t="s">
        <v>82</v>
      </c>
      <c r="E112" s="6">
        <v>366949.15464621998</v>
      </c>
      <c r="F112" s="6">
        <v>6548531.5120564997</v>
      </c>
      <c r="G112" s="7" t="str">
        <f>HYPERLINK("https://minkarta.lantmateriet.se/?e=366949,15464622&amp;n=6548531,5120565&amp;z=12&amp;profile=flygbildmedgranser&amp;background=2&amp;boundaries=true","Visa")</f>
        <v>Visa</v>
      </c>
      <c r="H112" s="5" t="s">
        <v>11</v>
      </c>
      <c r="I112" s="8">
        <v>55.791930000000001</v>
      </c>
      <c r="J112" s="9">
        <v>67.563119999999998</v>
      </c>
      <c r="K112" s="9">
        <v>69.017080000000007</v>
      </c>
      <c r="L112" s="14">
        <v>56.78528</v>
      </c>
      <c r="M112" s="9">
        <v>68.062610000000006</v>
      </c>
      <c r="N112" s="9">
        <v>71.533270000000002</v>
      </c>
      <c r="O112" s="14">
        <v>57.863970000000002</v>
      </c>
      <c r="P112" s="9">
        <v>69.047430000000006</v>
      </c>
      <c r="Q112" s="9">
        <v>71.902010000000004</v>
      </c>
      <c r="R112" s="23">
        <v>49.393909999999998</v>
      </c>
      <c r="S112" s="8">
        <v>1.0786899999999999</v>
      </c>
      <c r="T112" s="9">
        <v>0.98482000000000003</v>
      </c>
      <c r="U112" s="24">
        <v>0.36874000000000001</v>
      </c>
    </row>
    <row r="113" spans="1:21" ht="12" customHeight="1" x14ac:dyDescent="0.25">
      <c r="A113" s="5">
        <v>315</v>
      </c>
      <c r="B113" s="19" t="s">
        <v>83</v>
      </c>
      <c r="C113" s="19" t="s">
        <v>12</v>
      </c>
      <c r="D113" s="5" t="s">
        <v>84</v>
      </c>
      <c r="E113" s="6">
        <v>366942.47229872999</v>
      </c>
      <c r="F113" s="6">
        <v>6548347.3007479999</v>
      </c>
      <c r="G113" s="7" t="str">
        <f>HYPERLINK("https://minkarta.lantmateriet.se/?e=366942,47229873&amp;n=6548347,300748&amp;z=12&amp;profile=flygbildmedgranser&amp;background=2&amp;boundaries=true","Visa")</f>
        <v>Visa</v>
      </c>
      <c r="H113" s="5" t="s">
        <v>8</v>
      </c>
      <c r="I113" s="8">
        <v>40.580579999999998</v>
      </c>
      <c r="J113" s="9">
        <v>48.593440000000001</v>
      </c>
      <c r="K113" s="9">
        <v>50.122019999999999</v>
      </c>
      <c r="L113" s="14">
        <v>41.510640000000002</v>
      </c>
      <c r="M113" s="9">
        <v>49.022550000000003</v>
      </c>
      <c r="N113" s="9">
        <v>50.640509999999999</v>
      </c>
      <c r="O113" s="14">
        <v>41.661380000000001</v>
      </c>
      <c r="P113" s="9">
        <v>49.051000000000002</v>
      </c>
      <c r="Q113" s="9">
        <v>50.669829999999997</v>
      </c>
      <c r="R113" s="23">
        <v>27.49267</v>
      </c>
      <c r="S113" s="8">
        <v>0.15074000000000001</v>
      </c>
      <c r="T113" s="9">
        <v>2.845E-2</v>
      </c>
      <c r="U113" s="24">
        <v>2.9319999999999999E-2</v>
      </c>
    </row>
    <row r="114" spans="1:21" ht="12" customHeight="1" x14ac:dyDescent="0.25">
      <c r="A114" s="5">
        <v>316</v>
      </c>
      <c r="B114" s="19" t="s">
        <v>83</v>
      </c>
      <c r="C114" s="19" t="s">
        <v>12</v>
      </c>
      <c r="D114" s="5" t="s">
        <v>84</v>
      </c>
      <c r="E114" s="6">
        <v>366941.9717548</v>
      </c>
      <c r="F114" s="6">
        <v>6548355.8492997997</v>
      </c>
      <c r="G114" s="7" t="str">
        <f>HYPERLINK("https://minkarta.lantmateriet.se/?e=366941,9717548&amp;n=6548355,8492998&amp;z=12&amp;profile=flygbildmedgranser&amp;background=2&amp;boundaries=true","Visa")</f>
        <v>Visa</v>
      </c>
      <c r="H114" s="5" t="s">
        <v>9</v>
      </c>
      <c r="I114" s="8">
        <v>40.423749999999998</v>
      </c>
      <c r="J114" s="9">
        <v>44.895629999999997</v>
      </c>
      <c r="K114" s="9">
        <v>46.349589999999999</v>
      </c>
      <c r="L114" s="14">
        <v>41.365940000000002</v>
      </c>
      <c r="M114" s="9">
        <v>45.395130000000002</v>
      </c>
      <c r="N114" s="9">
        <v>48.865780000000001</v>
      </c>
      <c r="O114" s="14">
        <v>41.771039999999999</v>
      </c>
      <c r="P114" s="9">
        <v>47.223880000000001</v>
      </c>
      <c r="Q114" s="9">
        <v>50.07846</v>
      </c>
      <c r="R114" s="23">
        <v>32.464320000000001</v>
      </c>
      <c r="S114" s="8">
        <v>0.40510000000000002</v>
      </c>
      <c r="T114" s="9">
        <v>1.8287500000000001</v>
      </c>
      <c r="U114" s="24">
        <v>1.21268</v>
      </c>
    </row>
    <row r="115" spans="1:21" ht="12" customHeight="1" x14ac:dyDescent="0.25">
      <c r="A115" s="5">
        <v>317</v>
      </c>
      <c r="B115" s="19" t="s">
        <v>83</v>
      </c>
      <c r="C115" s="19" t="s">
        <v>12</v>
      </c>
      <c r="D115" s="5" t="s">
        <v>84</v>
      </c>
      <c r="E115" s="6">
        <v>366934.54670327</v>
      </c>
      <c r="F115" s="6">
        <v>6548351.5832559997</v>
      </c>
      <c r="G115" s="7" t="str">
        <f>HYPERLINK("https://minkarta.lantmateriet.se/?e=366934,54670327&amp;n=6548351,583256&amp;z=12&amp;profile=flygbildmedgranser&amp;background=2&amp;boundaries=true","Visa")</f>
        <v>Visa</v>
      </c>
      <c r="H115" s="5" t="s">
        <v>10</v>
      </c>
      <c r="I115" s="8">
        <v>40.09393</v>
      </c>
      <c r="J115" s="9">
        <v>45.89499</v>
      </c>
      <c r="K115" s="9">
        <v>47.348950000000002</v>
      </c>
      <c r="L115" s="14">
        <v>41.018990000000002</v>
      </c>
      <c r="M115" s="9">
        <v>46.394480000000001</v>
      </c>
      <c r="N115" s="9">
        <v>49.865139999999997</v>
      </c>
      <c r="O115" s="14">
        <v>41.618400000000001</v>
      </c>
      <c r="P115" s="9">
        <v>47.660040000000002</v>
      </c>
      <c r="Q115" s="9">
        <v>50.514609999999998</v>
      </c>
      <c r="R115" s="23">
        <v>44.534880000000001</v>
      </c>
      <c r="S115" s="8">
        <v>0.59941</v>
      </c>
      <c r="T115" s="9">
        <v>1.26556</v>
      </c>
      <c r="U115" s="24">
        <v>0.64946999999999999</v>
      </c>
    </row>
    <row r="116" spans="1:21" ht="12" customHeight="1" x14ac:dyDescent="0.25">
      <c r="A116" s="5">
        <v>318</v>
      </c>
      <c r="B116" s="19" t="s">
        <v>83</v>
      </c>
      <c r="C116" s="19" t="s">
        <v>12</v>
      </c>
      <c r="D116" s="5" t="s">
        <v>84</v>
      </c>
      <c r="E116" s="6">
        <v>366935.04724719998</v>
      </c>
      <c r="F116" s="6">
        <v>6548343.0347042</v>
      </c>
      <c r="G116" s="7" t="str">
        <f>HYPERLINK("https://minkarta.lantmateriet.se/?e=366935,0472472&amp;n=6548343,0347042&amp;z=12&amp;profile=flygbildmedgranser&amp;background=2&amp;boundaries=true","Visa")</f>
        <v>Visa</v>
      </c>
      <c r="H116" s="5" t="s">
        <v>11</v>
      </c>
      <c r="I116" s="8">
        <v>38.238169999999997</v>
      </c>
      <c r="J116" s="9">
        <v>46.920819999999999</v>
      </c>
      <c r="K116" s="9">
        <v>48.374789999999997</v>
      </c>
      <c r="L116" s="14">
        <v>39.166260000000001</v>
      </c>
      <c r="M116" s="9">
        <v>47.420319999999997</v>
      </c>
      <c r="N116" s="9">
        <v>50.890979999999999</v>
      </c>
      <c r="O116" s="14">
        <v>39.224150000000002</v>
      </c>
      <c r="P116" s="9">
        <v>48.400930000000002</v>
      </c>
      <c r="Q116" s="9">
        <v>51.255499999999998</v>
      </c>
      <c r="R116" s="23">
        <v>42.503459999999997</v>
      </c>
      <c r="S116" s="8">
        <v>5.7889999999999997E-2</v>
      </c>
      <c r="T116" s="9">
        <v>0.98060999999999998</v>
      </c>
      <c r="U116" s="24">
        <v>0.36452000000000001</v>
      </c>
    </row>
    <row r="117" spans="1:21" ht="12" customHeight="1" x14ac:dyDescent="0.25">
      <c r="A117" s="5">
        <v>319</v>
      </c>
      <c r="B117" s="19" t="s">
        <v>85</v>
      </c>
      <c r="C117" s="19" t="s">
        <v>12</v>
      </c>
      <c r="D117" s="5" t="s">
        <v>86</v>
      </c>
      <c r="E117" s="6">
        <v>366931.11529858998</v>
      </c>
      <c r="F117" s="6">
        <v>6548326.2107477998</v>
      </c>
      <c r="G117" s="7" t="str">
        <f>HYPERLINK("https://minkarta.lantmateriet.se/?e=366931,11529859&amp;n=6548326,2107478&amp;z=12&amp;profile=flygbildmedgranser&amp;background=2&amp;boundaries=true","Visa")</f>
        <v>Visa</v>
      </c>
      <c r="H117" s="5" t="s">
        <v>8</v>
      </c>
      <c r="I117" s="8">
        <v>41.721890000000002</v>
      </c>
      <c r="J117" s="9">
        <v>50.641260000000003</v>
      </c>
      <c r="K117" s="9">
        <v>52.169840000000001</v>
      </c>
      <c r="L117" s="14">
        <v>42.646380000000001</v>
      </c>
      <c r="M117" s="9">
        <v>51.070369999999997</v>
      </c>
      <c r="N117" s="9">
        <v>52.688330000000001</v>
      </c>
      <c r="O117" s="14">
        <v>42.75329</v>
      </c>
      <c r="P117" s="9">
        <v>51.098820000000003</v>
      </c>
      <c r="Q117" s="9">
        <v>52.717649999999999</v>
      </c>
      <c r="R117" s="23">
        <v>36.41451</v>
      </c>
      <c r="S117" s="8">
        <v>0.10691000000000001</v>
      </c>
      <c r="T117" s="9">
        <v>2.845E-2</v>
      </c>
      <c r="U117" s="24">
        <v>2.9319999999999999E-2</v>
      </c>
    </row>
    <row r="118" spans="1:21" ht="12" customHeight="1" x14ac:dyDescent="0.25">
      <c r="A118" s="5">
        <v>320</v>
      </c>
      <c r="B118" s="19" t="s">
        <v>85</v>
      </c>
      <c r="C118" s="19" t="s">
        <v>12</v>
      </c>
      <c r="D118" s="5" t="s">
        <v>86</v>
      </c>
      <c r="E118" s="6">
        <v>366930.2397561</v>
      </c>
      <c r="F118" s="6">
        <v>6548333.3722991003</v>
      </c>
      <c r="G118" s="7" t="str">
        <f>HYPERLINK("https://minkarta.lantmateriet.se/?e=366930,2397561&amp;n=6548333,3722991&amp;z=12&amp;profile=flygbildmedgranser&amp;background=2&amp;boundaries=true","Visa")</f>
        <v>Visa</v>
      </c>
      <c r="H118" s="5" t="s">
        <v>9</v>
      </c>
      <c r="I118" s="8">
        <v>39.447589999999998</v>
      </c>
      <c r="J118" s="9">
        <v>41.616169999999997</v>
      </c>
      <c r="K118" s="9">
        <v>43.144739999999999</v>
      </c>
      <c r="L118" s="14">
        <v>40.39132</v>
      </c>
      <c r="M118" s="9">
        <v>42.045270000000002</v>
      </c>
      <c r="N118" s="9">
        <v>43.663240000000002</v>
      </c>
      <c r="O118" s="14">
        <v>40.594070000000002</v>
      </c>
      <c r="P118" s="9">
        <v>42.796950000000002</v>
      </c>
      <c r="Q118" s="9">
        <v>43.95111</v>
      </c>
      <c r="R118" s="23">
        <v>30.176130000000001</v>
      </c>
      <c r="S118" s="8">
        <v>0.20275000000000001</v>
      </c>
      <c r="T118" s="9">
        <v>0.75168000000000001</v>
      </c>
      <c r="U118" s="24">
        <v>0.28787000000000001</v>
      </c>
    </row>
    <row r="119" spans="1:21" ht="12" customHeight="1" x14ac:dyDescent="0.25">
      <c r="A119" s="5">
        <v>322</v>
      </c>
      <c r="B119" s="19" t="s">
        <v>85</v>
      </c>
      <c r="C119" s="19" t="s">
        <v>12</v>
      </c>
      <c r="D119" s="5" t="s">
        <v>86</v>
      </c>
      <c r="E119" s="6">
        <v>366924.64524683001</v>
      </c>
      <c r="F119" s="6">
        <v>6548323.0192043995</v>
      </c>
      <c r="G119" s="7" t="str">
        <f>HYPERLINK("https://minkarta.lantmateriet.se/?e=366924,64524683&amp;n=6548323,0192044&amp;z=12&amp;profile=flygbildmedgranser&amp;background=2&amp;boundaries=true","Visa")</f>
        <v>Visa</v>
      </c>
      <c r="H119" s="5" t="s">
        <v>11</v>
      </c>
      <c r="I119" s="8">
        <v>40.89837</v>
      </c>
      <c r="J119" s="9">
        <v>46.689019999999999</v>
      </c>
      <c r="K119" s="9">
        <v>48.217599999999997</v>
      </c>
      <c r="L119" s="14">
        <v>41.82573</v>
      </c>
      <c r="M119" s="9">
        <v>47.118130000000001</v>
      </c>
      <c r="N119" s="9">
        <v>48.7361</v>
      </c>
      <c r="O119" s="14">
        <v>42.015619999999998</v>
      </c>
      <c r="P119" s="9">
        <v>47.14658</v>
      </c>
      <c r="Q119" s="9">
        <v>48.765419999999999</v>
      </c>
      <c r="R119" s="23">
        <v>40.290570000000002</v>
      </c>
      <c r="S119" s="8">
        <v>0.18989</v>
      </c>
      <c r="T119" s="9">
        <v>2.845E-2</v>
      </c>
      <c r="U119" s="24">
        <v>2.9319999999999999E-2</v>
      </c>
    </row>
    <row r="120" spans="1:21" ht="12" customHeight="1" x14ac:dyDescent="0.25">
      <c r="A120" s="5">
        <v>323</v>
      </c>
      <c r="B120" s="19" t="s">
        <v>87</v>
      </c>
      <c r="C120" s="19" t="s">
        <v>12</v>
      </c>
      <c r="D120" s="5" t="s">
        <v>88</v>
      </c>
      <c r="E120" s="6">
        <v>366918.17629022</v>
      </c>
      <c r="F120" s="6">
        <v>6548302.5852322998</v>
      </c>
      <c r="G120" s="7" t="str">
        <f>HYPERLINK("https://minkarta.lantmateriet.se/?e=366918,17629022&amp;n=6548302,5852323&amp;z=12&amp;profile=flygbildmedgranser&amp;background=2&amp;boundaries=true","Visa")</f>
        <v>Visa</v>
      </c>
      <c r="H120" s="5" t="s">
        <v>8</v>
      </c>
      <c r="I120" s="8">
        <v>42.85145</v>
      </c>
      <c r="J120" s="9">
        <v>50.834290000000003</v>
      </c>
      <c r="K120" s="9">
        <v>52.362879999999997</v>
      </c>
      <c r="L120" s="14">
        <v>43.776359999999997</v>
      </c>
      <c r="M120" s="9">
        <v>51.263399999999997</v>
      </c>
      <c r="N120" s="9">
        <v>52.881369999999997</v>
      </c>
      <c r="O120" s="14">
        <v>43.876049999999999</v>
      </c>
      <c r="P120" s="9">
        <v>51.291849999999997</v>
      </c>
      <c r="Q120" s="9">
        <v>52.910690000000002</v>
      </c>
      <c r="R120" s="23">
        <v>32.859470000000002</v>
      </c>
      <c r="S120" s="8">
        <v>9.9690000000000001E-2</v>
      </c>
      <c r="T120" s="9">
        <v>2.845E-2</v>
      </c>
      <c r="U120" s="24">
        <v>2.9319999999999999E-2</v>
      </c>
    </row>
    <row r="121" spans="1:21" ht="12" customHeight="1" x14ac:dyDescent="0.25">
      <c r="A121" s="5">
        <v>325</v>
      </c>
      <c r="B121" s="19" t="s">
        <v>87</v>
      </c>
      <c r="C121" s="19" t="s">
        <v>12</v>
      </c>
      <c r="D121" s="5" t="s">
        <v>88</v>
      </c>
      <c r="E121" s="6">
        <v>366910.29471158999</v>
      </c>
      <c r="F121" s="6">
        <v>6548306.8612713004</v>
      </c>
      <c r="G121" s="7" t="str">
        <f>HYPERLINK("https://minkarta.lantmateriet.se/?e=366910,29471159&amp;n=6548306,8612713&amp;z=12&amp;profile=flygbildmedgranser&amp;background=2&amp;boundaries=true","Visa")</f>
        <v>Visa</v>
      </c>
      <c r="H121" s="5" t="s">
        <v>10</v>
      </c>
      <c r="I121" s="8">
        <v>39.697650000000003</v>
      </c>
      <c r="J121" s="9">
        <v>44.088070000000002</v>
      </c>
      <c r="K121" s="9">
        <v>45.611870000000003</v>
      </c>
      <c r="L121" s="14">
        <v>40.622</v>
      </c>
      <c r="M121" s="9">
        <v>44.587560000000003</v>
      </c>
      <c r="N121" s="9">
        <v>48.058219999999999</v>
      </c>
      <c r="O121" s="14">
        <v>40.887</v>
      </c>
      <c r="P121" s="9">
        <v>46.291159999999998</v>
      </c>
      <c r="Q121" s="9">
        <v>48.426960000000001</v>
      </c>
      <c r="R121" s="23">
        <v>42.9908</v>
      </c>
      <c r="S121" s="8">
        <v>0.26500000000000001</v>
      </c>
      <c r="T121" s="9">
        <v>1.7036</v>
      </c>
      <c r="U121" s="24">
        <v>0.36874000000000001</v>
      </c>
    </row>
    <row r="122" spans="1:21" ht="12" customHeight="1" x14ac:dyDescent="0.25">
      <c r="A122" s="5">
        <v>326</v>
      </c>
      <c r="B122" s="19" t="s">
        <v>87</v>
      </c>
      <c r="C122" s="19" t="s">
        <v>12</v>
      </c>
      <c r="D122" s="5" t="s">
        <v>88</v>
      </c>
      <c r="E122" s="6">
        <v>366911.3502327</v>
      </c>
      <c r="F122" s="6">
        <v>6548299.4062120002</v>
      </c>
      <c r="G122" s="7" t="str">
        <f>HYPERLINK("https://minkarta.lantmateriet.se/?e=366911,3502327&amp;n=6548299,406212&amp;z=12&amp;profile=flygbildmedgranser&amp;background=2&amp;boundaries=true","Visa")</f>
        <v>Visa</v>
      </c>
      <c r="H122" s="5" t="s">
        <v>11</v>
      </c>
      <c r="I122" s="8">
        <v>38.804079999999999</v>
      </c>
      <c r="J122" s="9">
        <v>44.314410000000002</v>
      </c>
      <c r="K122" s="9">
        <v>45.84299</v>
      </c>
      <c r="L122" s="14">
        <v>39.719859999999997</v>
      </c>
      <c r="M122" s="9">
        <v>44.743519999999997</v>
      </c>
      <c r="N122" s="9">
        <v>46.361600000000003</v>
      </c>
      <c r="O122" s="14">
        <v>39.844749999999998</v>
      </c>
      <c r="P122" s="9">
        <v>44.771970000000003</v>
      </c>
      <c r="Q122" s="9">
        <v>46.73066</v>
      </c>
      <c r="R122" s="23">
        <v>36.334670000000003</v>
      </c>
      <c r="S122" s="8">
        <v>0.12489</v>
      </c>
      <c r="T122" s="9">
        <v>2.845E-2</v>
      </c>
      <c r="U122" s="24">
        <v>0.36906</v>
      </c>
    </row>
    <row r="123" spans="1:21" ht="12" customHeight="1" x14ac:dyDescent="0.25">
      <c r="A123" s="5">
        <v>327</v>
      </c>
      <c r="B123" s="19" t="s">
        <v>89</v>
      </c>
      <c r="C123" s="19" t="s">
        <v>12</v>
      </c>
      <c r="D123" s="5" t="s">
        <v>90</v>
      </c>
      <c r="E123" s="6">
        <v>366905.77380026999</v>
      </c>
      <c r="F123" s="6">
        <v>6548279.7347509004</v>
      </c>
      <c r="G123" s="7" t="str">
        <f>HYPERLINK("https://minkarta.lantmateriet.se/?e=366905,77380027&amp;n=6548279,7347509&amp;z=12&amp;profile=flygbildmedgranser&amp;background=2&amp;boundaries=true","Visa")</f>
        <v>Visa</v>
      </c>
      <c r="H123" s="5" t="s">
        <v>8</v>
      </c>
      <c r="I123" s="8">
        <v>44.937600000000003</v>
      </c>
      <c r="J123" s="9">
        <v>51.44106</v>
      </c>
      <c r="K123" s="9">
        <v>52.969639999999998</v>
      </c>
      <c r="L123" s="14">
        <v>45.870429999999999</v>
      </c>
      <c r="M123" s="9">
        <v>51.870170000000002</v>
      </c>
      <c r="N123" s="9">
        <v>53.488140000000001</v>
      </c>
      <c r="O123" s="14">
        <v>45.989379999999997</v>
      </c>
      <c r="P123" s="9">
        <v>51.898620000000001</v>
      </c>
      <c r="Q123" s="9">
        <v>53.517449999999997</v>
      </c>
      <c r="R123" s="23">
        <v>34.048659999999998</v>
      </c>
      <c r="S123" s="8">
        <v>0.11895</v>
      </c>
      <c r="T123" s="9">
        <v>2.845E-2</v>
      </c>
      <c r="U123" s="24">
        <v>2.9309999999999999E-2</v>
      </c>
    </row>
    <row r="124" spans="1:21" ht="12" customHeight="1" x14ac:dyDescent="0.25">
      <c r="A124" s="5">
        <v>328</v>
      </c>
      <c r="B124" s="19" t="s">
        <v>89</v>
      </c>
      <c r="C124" s="19" t="s">
        <v>12</v>
      </c>
      <c r="D124" s="5" t="s">
        <v>90</v>
      </c>
      <c r="E124" s="6">
        <v>366904.91725127999</v>
      </c>
      <c r="F124" s="6">
        <v>6548286.8938017003</v>
      </c>
      <c r="G124" s="7" t="str">
        <f>HYPERLINK("https://minkarta.lantmateriet.se/?e=366904,91725128&amp;n=6548286,8938017&amp;z=12&amp;profile=flygbildmedgranser&amp;background=2&amp;boundaries=true","Visa")</f>
        <v>Visa</v>
      </c>
      <c r="H124" s="5" t="s">
        <v>9</v>
      </c>
      <c r="I124" s="8">
        <v>42.634079999999997</v>
      </c>
      <c r="J124" s="9">
        <v>50.467930000000003</v>
      </c>
      <c r="K124" s="9">
        <v>51.996510000000001</v>
      </c>
      <c r="L124" s="14">
        <v>43.569580000000002</v>
      </c>
      <c r="M124" s="9">
        <v>50.897039999999997</v>
      </c>
      <c r="N124" s="9">
        <v>52.515000000000001</v>
      </c>
      <c r="O124" s="14">
        <v>43.615740000000002</v>
      </c>
      <c r="P124" s="9">
        <v>50.925490000000003</v>
      </c>
      <c r="Q124" s="9">
        <v>52.544319999999999</v>
      </c>
      <c r="R124" s="23">
        <v>37.553620000000002</v>
      </c>
      <c r="S124" s="8">
        <v>4.616E-2</v>
      </c>
      <c r="T124" s="9">
        <v>2.845E-2</v>
      </c>
      <c r="U124" s="24">
        <v>2.9319999999999999E-2</v>
      </c>
    </row>
    <row r="125" spans="1:21" ht="12" customHeight="1" x14ac:dyDescent="0.25">
      <c r="A125" s="5">
        <v>329</v>
      </c>
      <c r="B125" s="19" t="s">
        <v>89</v>
      </c>
      <c r="C125" s="19" t="s">
        <v>12</v>
      </c>
      <c r="D125" s="5" t="s">
        <v>90</v>
      </c>
      <c r="E125" s="6">
        <v>366898.46170137002</v>
      </c>
      <c r="F125" s="6">
        <v>6548283.6822523996</v>
      </c>
      <c r="G125" s="7" t="str">
        <f>HYPERLINK("https://minkarta.lantmateriet.se/?e=366898,46170137&amp;n=6548283,6822524&amp;z=12&amp;profile=flygbildmedgranser&amp;background=2&amp;boundaries=true","Visa")</f>
        <v>Visa</v>
      </c>
      <c r="H125" s="5" t="s">
        <v>10</v>
      </c>
      <c r="I125" s="8">
        <v>40.335769999999997</v>
      </c>
      <c r="J125" s="9">
        <v>46.150260000000003</v>
      </c>
      <c r="K125" s="9">
        <v>47.678840000000001</v>
      </c>
      <c r="L125" s="14">
        <v>41.254199999999997</v>
      </c>
      <c r="M125" s="9">
        <v>46.579369999999997</v>
      </c>
      <c r="N125" s="9">
        <v>49.00376</v>
      </c>
      <c r="O125" s="14">
        <v>41.513109999999998</v>
      </c>
      <c r="P125" s="9">
        <v>46.607819999999997</v>
      </c>
      <c r="Q125" s="9">
        <v>49.372500000000002</v>
      </c>
      <c r="R125" s="23">
        <v>42.773049999999998</v>
      </c>
      <c r="S125" s="8">
        <v>0.25890999999999997</v>
      </c>
      <c r="T125" s="9">
        <v>2.845E-2</v>
      </c>
      <c r="U125" s="24">
        <v>0.36874000000000001</v>
      </c>
    </row>
    <row r="126" spans="1:21" ht="12" customHeight="1" x14ac:dyDescent="0.25">
      <c r="A126" s="5">
        <v>330</v>
      </c>
      <c r="B126" s="19" t="s">
        <v>89</v>
      </c>
      <c r="C126" s="19" t="s">
        <v>12</v>
      </c>
      <c r="D126" s="5" t="s">
        <v>90</v>
      </c>
      <c r="E126" s="6">
        <v>366899.31825021998</v>
      </c>
      <c r="F126" s="6">
        <v>6548276.5232026</v>
      </c>
      <c r="G126" s="7" t="str">
        <f>HYPERLINK("https://minkarta.lantmateriet.se/?e=366899,31825022&amp;n=6548276,5232026&amp;z=12&amp;profile=flygbildmedgranser&amp;background=2&amp;boundaries=true","Visa")</f>
        <v>Visa</v>
      </c>
      <c r="H126" s="5" t="s">
        <v>11</v>
      </c>
      <c r="I126" s="8">
        <v>43.268520000000002</v>
      </c>
      <c r="J126" s="9">
        <v>54.808779999999999</v>
      </c>
      <c r="K126" s="9">
        <v>56.337359999999997</v>
      </c>
      <c r="L126" s="14">
        <v>44.215479999999999</v>
      </c>
      <c r="M126" s="9">
        <v>55.23789</v>
      </c>
      <c r="N126" s="9">
        <v>56.855849999999997</v>
      </c>
      <c r="O126" s="14">
        <v>44.369529999999997</v>
      </c>
      <c r="P126" s="9">
        <v>55.26634</v>
      </c>
      <c r="Q126" s="9">
        <v>56.885170000000002</v>
      </c>
      <c r="R126" s="23">
        <v>38.408610000000003</v>
      </c>
      <c r="S126" s="8">
        <v>0.15404999999999999</v>
      </c>
      <c r="T126" s="9">
        <v>2.845E-2</v>
      </c>
      <c r="U126" s="24">
        <v>2.9319999999999999E-2</v>
      </c>
    </row>
    <row r="127" spans="1:21" ht="12" customHeight="1" x14ac:dyDescent="0.25">
      <c r="A127" s="5">
        <v>331</v>
      </c>
      <c r="B127" s="19" t="s">
        <v>91</v>
      </c>
      <c r="C127" s="19" t="s">
        <v>12</v>
      </c>
      <c r="D127" s="5" t="s">
        <v>92</v>
      </c>
      <c r="E127" s="6">
        <v>366893.15231368999</v>
      </c>
      <c r="F127" s="6">
        <v>6548256.4257758996</v>
      </c>
      <c r="G127" s="7" t="str">
        <f>HYPERLINK("https://minkarta.lantmateriet.se/?e=366893,15231369&amp;n=6548256,4257759&amp;z=12&amp;profile=flygbildmedgranser&amp;background=2&amp;boundaries=true","Visa")</f>
        <v>Visa</v>
      </c>
      <c r="H127" s="5" t="s">
        <v>8</v>
      </c>
      <c r="I127" s="8">
        <v>46.294989999999999</v>
      </c>
      <c r="J127" s="9">
        <v>52.732340000000001</v>
      </c>
      <c r="K127" s="9">
        <v>54.260919999999999</v>
      </c>
      <c r="L127" s="14">
        <v>47.231270000000002</v>
      </c>
      <c r="M127" s="9">
        <v>53.161450000000002</v>
      </c>
      <c r="N127" s="9">
        <v>54.779420000000002</v>
      </c>
      <c r="O127" s="14">
        <v>47.315190000000001</v>
      </c>
      <c r="P127" s="9">
        <v>53.189900000000002</v>
      </c>
      <c r="Q127" s="9">
        <v>54.808729999999997</v>
      </c>
      <c r="R127" s="23">
        <v>37.626379999999997</v>
      </c>
      <c r="S127" s="8">
        <v>8.3919999999999995E-2</v>
      </c>
      <c r="T127" s="9">
        <v>2.845E-2</v>
      </c>
      <c r="U127" s="24">
        <v>2.9309999999999999E-2</v>
      </c>
    </row>
    <row r="128" spans="1:21" ht="12" customHeight="1" x14ac:dyDescent="0.25">
      <c r="A128" s="5">
        <v>332</v>
      </c>
      <c r="B128" s="19" t="s">
        <v>91</v>
      </c>
      <c r="C128" s="19" t="s">
        <v>12</v>
      </c>
      <c r="D128" s="5" t="s">
        <v>92</v>
      </c>
      <c r="E128" s="6">
        <v>366892.21822707</v>
      </c>
      <c r="F128" s="6">
        <v>6548263.4578147</v>
      </c>
      <c r="G128" s="7" t="str">
        <f>HYPERLINK("https://minkarta.lantmateriet.se/?e=366892,21822707&amp;n=6548263,4578147&amp;z=12&amp;profile=flygbildmedgranser&amp;background=2&amp;boundaries=true","Visa")</f>
        <v>Visa</v>
      </c>
      <c r="H128" s="5" t="s">
        <v>9</v>
      </c>
      <c r="I128" s="8">
        <v>43.820770000000003</v>
      </c>
      <c r="J128" s="9">
        <v>51.82929</v>
      </c>
      <c r="K128" s="9">
        <v>53.357869999999998</v>
      </c>
      <c r="L128" s="14">
        <v>44.757249999999999</v>
      </c>
      <c r="M128" s="9">
        <v>52.258400000000002</v>
      </c>
      <c r="N128" s="9">
        <v>53.876359999999998</v>
      </c>
      <c r="O128" s="14">
        <v>44.913020000000003</v>
      </c>
      <c r="P128" s="9">
        <v>52.286850000000001</v>
      </c>
      <c r="Q128" s="9">
        <v>53.905679999999997</v>
      </c>
      <c r="R128" s="23">
        <v>38.604439999999997</v>
      </c>
      <c r="S128" s="8">
        <v>0.15576999999999999</v>
      </c>
      <c r="T128" s="9">
        <v>2.845E-2</v>
      </c>
      <c r="U128" s="24">
        <v>2.9319999999999999E-2</v>
      </c>
    </row>
    <row r="129" spans="1:21" ht="12" customHeight="1" x14ac:dyDescent="0.25">
      <c r="A129" s="5">
        <v>333</v>
      </c>
      <c r="B129" s="19" t="s">
        <v>91</v>
      </c>
      <c r="C129" s="19" t="s">
        <v>12</v>
      </c>
      <c r="D129" s="5" t="s">
        <v>92</v>
      </c>
      <c r="E129" s="6">
        <v>366885.84368812002</v>
      </c>
      <c r="F129" s="6">
        <v>6548260.3447278002</v>
      </c>
      <c r="G129" s="7" t="str">
        <f>HYPERLINK("https://minkarta.lantmateriet.se/?e=366885,84368812&amp;n=6548260,3447278&amp;z=12&amp;profile=flygbildmedgranser&amp;background=2&amp;boundaries=true","Visa")</f>
        <v>Visa</v>
      </c>
      <c r="H129" s="5" t="s">
        <v>10</v>
      </c>
      <c r="I129" s="8">
        <v>41.874169999999999</v>
      </c>
      <c r="J129" s="9">
        <v>51.688220000000001</v>
      </c>
      <c r="K129" s="9">
        <v>53.216799999999999</v>
      </c>
      <c r="L129" s="14">
        <v>42.791679999999999</v>
      </c>
      <c r="M129" s="9">
        <v>52.117330000000003</v>
      </c>
      <c r="N129" s="9">
        <v>53.735289999999999</v>
      </c>
      <c r="O129" s="14">
        <v>43.029879999999999</v>
      </c>
      <c r="P129" s="9">
        <v>52.145780000000002</v>
      </c>
      <c r="Q129" s="9">
        <v>53.764609999999998</v>
      </c>
      <c r="R129" s="23">
        <v>41.189129999999999</v>
      </c>
      <c r="S129" s="8">
        <v>0.2382</v>
      </c>
      <c r="T129" s="9">
        <v>2.845E-2</v>
      </c>
      <c r="U129" s="24">
        <v>2.9319999999999999E-2</v>
      </c>
    </row>
    <row r="130" spans="1:21" ht="12" customHeight="1" x14ac:dyDescent="0.25">
      <c r="A130" s="5">
        <v>334</v>
      </c>
      <c r="B130" s="19" t="s">
        <v>91</v>
      </c>
      <c r="C130" s="19" t="s">
        <v>12</v>
      </c>
      <c r="D130" s="5" t="s">
        <v>92</v>
      </c>
      <c r="E130" s="6">
        <v>366886.77777587</v>
      </c>
      <c r="F130" s="6">
        <v>6548253.3126887996</v>
      </c>
      <c r="G130" s="7" t="str">
        <f>HYPERLINK("https://minkarta.lantmateriet.se/?e=366886,77777587&amp;n=6548253,3126888&amp;z=12&amp;profile=flygbildmedgranser&amp;background=2&amp;boundaries=true","Visa")</f>
        <v>Visa</v>
      </c>
      <c r="H130" s="5" t="s">
        <v>11</v>
      </c>
      <c r="I130" s="8">
        <v>45.854730000000004</v>
      </c>
      <c r="J130" s="9">
        <v>58.913040000000002</v>
      </c>
      <c r="K130" s="9">
        <v>60.441630000000004</v>
      </c>
      <c r="L130" s="14">
        <v>46.788040000000002</v>
      </c>
      <c r="M130" s="9">
        <v>59.342149999999997</v>
      </c>
      <c r="N130" s="9">
        <v>60.960120000000003</v>
      </c>
      <c r="O130" s="14">
        <v>46.896790000000003</v>
      </c>
      <c r="P130" s="9">
        <v>59.370600000000003</v>
      </c>
      <c r="Q130" s="9">
        <v>60.989440000000002</v>
      </c>
      <c r="R130" s="23">
        <v>37.492139999999999</v>
      </c>
      <c r="S130" s="8">
        <v>0.10875</v>
      </c>
      <c r="T130" s="9">
        <v>2.845E-2</v>
      </c>
      <c r="U130" s="24">
        <v>2.9319999999999999E-2</v>
      </c>
    </row>
    <row r="131" spans="1:21" ht="12" customHeight="1" x14ac:dyDescent="0.25">
      <c r="A131" s="5">
        <v>335</v>
      </c>
      <c r="B131" s="19" t="s">
        <v>93</v>
      </c>
      <c r="C131" s="19" t="s">
        <v>12</v>
      </c>
      <c r="D131" s="5" t="s">
        <v>94</v>
      </c>
      <c r="E131" s="6">
        <v>366880.55780791998</v>
      </c>
      <c r="F131" s="6">
        <v>6548233.0737651</v>
      </c>
      <c r="G131" s="7" t="str">
        <f>HYPERLINK("https://minkarta.lantmateriet.se/?e=366880,55780792&amp;n=6548233,0737651&amp;z=12&amp;profile=flygbildmedgranser&amp;background=2&amp;boundaries=true","Visa")</f>
        <v>Visa</v>
      </c>
      <c r="H131" s="5" t="s">
        <v>8</v>
      </c>
      <c r="I131" s="8">
        <v>47.097070000000002</v>
      </c>
      <c r="J131" s="9">
        <v>54.575940000000003</v>
      </c>
      <c r="K131" s="9">
        <v>56.104520000000001</v>
      </c>
      <c r="L131" s="14">
        <v>48.033700000000003</v>
      </c>
      <c r="M131" s="9">
        <v>55.005049999999997</v>
      </c>
      <c r="N131" s="9">
        <v>56.623010000000001</v>
      </c>
      <c r="O131" s="14">
        <v>48.12518</v>
      </c>
      <c r="P131" s="9">
        <v>55.033499999999997</v>
      </c>
      <c r="Q131" s="9">
        <v>56.652329999999999</v>
      </c>
      <c r="R131" s="23">
        <v>27.58924</v>
      </c>
      <c r="S131" s="8">
        <v>9.1480000000000006E-2</v>
      </c>
      <c r="T131" s="9">
        <v>2.845E-2</v>
      </c>
      <c r="U131" s="24">
        <v>2.9319999999999999E-2</v>
      </c>
    </row>
    <row r="132" spans="1:21" ht="12" customHeight="1" x14ac:dyDescent="0.25">
      <c r="A132" s="5">
        <v>336</v>
      </c>
      <c r="B132" s="19" t="s">
        <v>93</v>
      </c>
      <c r="C132" s="19" t="s">
        <v>12</v>
      </c>
      <c r="D132" s="5" t="s">
        <v>94</v>
      </c>
      <c r="E132" s="6">
        <v>366879.6382398</v>
      </c>
      <c r="F132" s="6">
        <v>6548240.2638079002</v>
      </c>
      <c r="G132" s="7" t="str">
        <f>HYPERLINK("https://minkarta.lantmateriet.se/?e=366879,6382398&amp;n=6548240,2638079&amp;z=12&amp;profile=flygbildmedgranser&amp;background=2&amp;boundaries=true","Visa")</f>
        <v>Visa</v>
      </c>
      <c r="H132" s="5" t="s">
        <v>9</v>
      </c>
      <c r="I132" s="8">
        <v>45.086620000000003</v>
      </c>
      <c r="J132" s="9">
        <v>52.376130000000003</v>
      </c>
      <c r="K132" s="9">
        <v>53.904710000000001</v>
      </c>
      <c r="L132" s="14">
        <v>46.01737</v>
      </c>
      <c r="M132" s="9">
        <v>52.805239999999998</v>
      </c>
      <c r="N132" s="9">
        <v>54.423200000000001</v>
      </c>
      <c r="O132" s="14">
        <v>46.120519999999999</v>
      </c>
      <c r="P132" s="9">
        <v>52.833689999999997</v>
      </c>
      <c r="Q132" s="9">
        <v>54.45252</v>
      </c>
      <c r="R132" s="23">
        <v>37.126950000000001</v>
      </c>
      <c r="S132" s="8">
        <v>0.10315000000000001</v>
      </c>
      <c r="T132" s="9">
        <v>2.845E-2</v>
      </c>
      <c r="U132" s="24">
        <v>2.9319999999999999E-2</v>
      </c>
    </row>
    <row r="133" spans="1:21" ht="12" customHeight="1" x14ac:dyDescent="0.25">
      <c r="A133" s="5">
        <v>337</v>
      </c>
      <c r="B133" s="19" t="s">
        <v>93</v>
      </c>
      <c r="C133" s="19" t="s">
        <v>12</v>
      </c>
      <c r="D133" s="5" t="s">
        <v>94</v>
      </c>
      <c r="E133" s="6">
        <v>366873.13169533003</v>
      </c>
      <c r="F133" s="6">
        <v>6548237.0697411997</v>
      </c>
      <c r="G133" s="7" t="str">
        <f>HYPERLINK("https://minkarta.lantmateriet.se/?e=366873,13169533&amp;n=6548237,0697412&amp;z=12&amp;profile=flygbildmedgranser&amp;background=2&amp;boundaries=true","Visa")</f>
        <v>Visa</v>
      </c>
      <c r="H133" s="5" t="s">
        <v>10</v>
      </c>
      <c r="I133" s="8">
        <v>48.587179999999996</v>
      </c>
      <c r="J133" s="9">
        <v>61.068049999999999</v>
      </c>
      <c r="K133" s="9">
        <v>62.596629999999998</v>
      </c>
      <c r="L133" s="14">
        <v>49.497250000000001</v>
      </c>
      <c r="M133" s="9">
        <v>61.497160000000001</v>
      </c>
      <c r="N133" s="9">
        <v>63.115119999999997</v>
      </c>
      <c r="O133" s="14">
        <v>49.596899999999998</v>
      </c>
      <c r="P133" s="9">
        <v>61.52561</v>
      </c>
      <c r="Q133" s="9">
        <v>63.144440000000003</v>
      </c>
      <c r="R133" s="23">
        <v>39.434339999999999</v>
      </c>
      <c r="S133" s="8">
        <v>9.9650000000000002E-2</v>
      </c>
      <c r="T133" s="9">
        <v>2.845E-2</v>
      </c>
      <c r="U133" s="24">
        <v>2.9319999999999999E-2</v>
      </c>
    </row>
    <row r="134" spans="1:21" ht="12" customHeight="1" x14ac:dyDescent="0.25">
      <c r="A134" s="5">
        <v>338</v>
      </c>
      <c r="B134" s="19" t="s">
        <v>93</v>
      </c>
      <c r="C134" s="19" t="s">
        <v>12</v>
      </c>
      <c r="D134" s="5" t="s">
        <v>94</v>
      </c>
      <c r="E134" s="6">
        <v>366874.05126277002</v>
      </c>
      <c r="F134" s="6">
        <v>6548229.8796958001</v>
      </c>
      <c r="G134" s="7" t="str">
        <f>HYPERLINK("https://minkarta.lantmateriet.se/?e=366874,05126277&amp;n=6548229,8796958&amp;z=12&amp;profile=flygbildmedgranser&amp;background=2&amp;boundaries=true","Visa")</f>
        <v>Visa</v>
      </c>
      <c r="H134" s="5" t="s">
        <v>11</v>
      </c>
      <c r="I134" s="8">
        <v>50.628990000000002</v>
      </c>
      <c r="J134" s="9">
        <v>60.986350000000002</v>
      </c>
      <c r="K134" s="9">
        <v>62.51493</v>
      </c>
      <c r="L134" s="14">
        <v>51.550490000000003</v>
      </c>
      <c r="M134" s="9">
        <v>61.41545</v>
      </c>
      <c r="N134" s="9">
        <v>63.03342</v>
      </c>
      <c r="O134" s="14">
        <v>51.630830000000003</v>
      </c>
      <c r="P134" s="9">
        <v>61.443899999999999</v>
      </c>
      <c r="Q134" s="9">
        <v>63.062739999999998</v>
      </c>
      <c r="R134" s="23">
        <v>31.882989999999999</v>
      </c>
      <c r="S134" s="8">
        <v>8.0339999999999995E-2</v>
      </c>
      <c r="T134" s="9">
        <v>2.845E-2</v>
      </c>
      <c r="U134" s="24">
        <v>2.9319999999999999E-2</v>
      </c>
    </row>
    <row r="135" spans="1:21" ht="12" customHeight="1" x14ac:dyDescent="0.25">
      <c r="A135" s="5">
        <v>340</v>
      </c>
      <c r="B135" s="19" t="s">
        <v>95</v>
      </c>
      <c r="C135" s="19" t="s">
        <v>12</v>
      </c>
      <c r="D135" s="5" t="s">
        <v>96</v>
      </c>
      <c r="E135" s="6">
        <v>366851.49324873998</v>
      </c>
      <c r="F135" s="6">
        <v>6548256.1663031001</v>
      </c>
      <c r="G135" s="7" t="str">
        <f>HYPERLINK("https://minkarta.lantmateriet.se/?e=366851,49324874&amp;n=6548256,1663031&amp;z=12&amp;profile=flygbildmedgranser&amp;background=2&amp;boundaries=true","Visa")</f>
        <v>Visa</v>
      </c>
      <c r="H135" s="5" t="s">
        <v>9</v>
      </c>
      <c r="I135" s="8">
        <v>43.609679999999997</v>
      </c>
      <c r="J135" s="9">
        <v>56.102519999999998</v>
      </c>
      <c r="K135" s="9">
        <v>57.631100000000004</v>
      </c>
      <c r="L135" s="14">
        <v>44.522129999999997</v>
      </c>
      <c r="M135" s="9">
        <v>56.53163</v>
      </c>
      <c r="N135" s="9">
        <v>58.149590000000003</v>
      </c>
      <c r="O135" s="14">
        <v>44.659660000000002</v>
      </c>
      <c r="P135" s="9">
        <v>56.560079999999999</v>
      </c>
      <c r="Q135" s="9">
        <v>58.178910000000002</v>
      </c>
      <c r="R135" s="23">
        <v>38.610439999999997</v>
      </c>
      <c r="S135" s="8">
        <v>0.13753000000000001</v>
      </c>
      <c r="T135" s="9">
        <v>2.845E-2</v>
      </c>
      <c r="U135" s="24">
        <v>2.9319999999999999E-2</v>
      </c>
    </row>
    <row r="136" spans="1:21" ht="12" customHeight="1" x14ac:dyDescent="0.25">
      <c r="A136" s="5">
        <v>341</v>
      </c>
      <c r="B136" s="19" t="s">
        <v>95</v>
      </c>
      <c r="C136" s="19" t="s">
        <v>12</v>
      </c>
      <c r="D136" s="5" t="s">
        <v>96</v>
      </c>
      <c r="E136" s="6">
        <v>366843.99519995</v>
      </c>
      <c r="F136" s="6">
        <v>6548251.9792497996</v>
      </c>
      <c r="G136" s="7" t="str">
        <f>HYPERLINK("https://minkarta.lantmateriet.se/?e=366843,99519995&amp;n=6548251,9792498&amp;z=12&amp;profile=flygbildmedgranser&amp;background=2&amp;boundaries=true","Visa")</f>
        <v>Visa</v>
      </c>
      <c r="H136" s="5" t="s">
        <v>10</v>
      </c>
      <c r="I136" s="8">
        <v>51.614910000000002</v>
      </c>
      <c r="J136" s="9">
        <v>64.069000000000003</v>
      </c>
      <c r="K136" s="9">
        <v>65.597579999999994</v>
      </c>
      <c r="L136" s="14">
        <v>52.52467</v>
      </c>
      <c r="M136" s="9">
        <v>64.498109999999997</v>
      </c>
      <c r="N136" s="9">
        <v>66.116069999999993</v>
      </c>
      <c r="O136" s="14">
        <v>52.640549999999998</v>
      </c>
      <c r="P136" s="9">
        <v>64.526560000000003</v>
      </c>
      <c r="Q136" s="9">
        <v>66.145390000000006</v>
      </c>
      <c r="R136" s="23">
        <v>41.84348</v>
      </c>
      <c r="S136" s="8">
        <v>0.11588</v>
      </c>
      <c r="T136" s="9">
        <v>2.845E-2</v>
      </c>
      <c r="U136" s="24">
        <v>2.9319999999999999E-2</v>
      </c>
    </row>
    <row r="137" spans="1:21" ht="12" customHeight="1" x14ac:dyDescent="0.25">
      <c r="A137" s="5">
        <v>342</v>
      </c>
      <c r="B137" s="19" t="s">
        <v>95</v>
      </c>
      <c r="C137" s="19" t="s">
        <v>12</v>
      </c>
      <c r="D137" s="5" t="s">
        <v>96</v>
      </c>
      <c r="E137" s="6">
        <v>366844.61375326</v>
      </c>
      <c r="F137" s="6">
        <v>6548243.4137009</v>
      </c>
      <c r="G137" s="7" t="str">
        <f>HYPERLINK("https://minkarta.lantmateriet.se/?e=366844,61375326&amp;n=6548243,4137009&amp;z=12&amp;profile=flygbildmedgranser&amp;background=2&amp;boundaries=true","Visa")</f>
        <v>Visa</v>
      </c>
      <c r="H137" s="5" t="s">
        <v>11</v>
      </c>
      <c r="I137" s="8">
        <v>53.323050000000002</v>
      </c>
      <c r="J137" s="9">
        <v>64.358819999999994</v>
      </c>
      <c r="K137" s="9">
        <v>65.8874</v>
      </c>
      <c r="L137" s="14">
        <v>54.237110000000001</v>
      </c>
      <c r="M137" s="9">
        <v>64.787930000000003</v>
      </c>
      <c r="N137" s="9">
        <v>66.405889999999999</v>
      </c>
      <c r="O137" s="14">
        <v>54.311599999999999</v>
      </c>
      <c r="P137" s="9">
        <v>64.816379999999995</v>
      </c>
      <c r="Q137" s="9">
        <v>66.435209999999998</v>
      </c>
      <c r="R137" s="23">
        <v>31.28227</v>
      </c>
      <c r="S137" s="8">
        <v>7.4490000000000001E-2</v>
      </c>
      <c r="T137" s="9">
        <v>2.845E-2</v>
      </c>
      <c r="U137" s="24">
        <v>2.9319999999999999E-2</v>
      </c>
    </row>
    <row r="138" spans="1:21" ht="12" customHeight="1" x14ac:dyDescent="0.25">
      <c r="A138" s="5">
        <v>343</v>
      </c>
      <c r="B138" s="19" t="s">
        <v>97</v>
      </c>
      <c r="C138" s="19" t="s">
        <v>12</v>
      </c>
      <c r="D138" s="5" t="s">
        <v>98</v>
      </c>
      <c r="E138" s="6">
        <v>366864.40728788998</v>
      </c>
      <c r="F138" s="6">
        <v>6548270.4917280003</v>
      </c>
      <c r="G138" s="7" t="str">
        <f>HYPERLINK("https://minkarta.lantmateriet.se/?e=366864,40728789&amp;n=6548270,491728&amp;z=12&amp;profile=flygbildmedgranser&amp;background=2&amp;boundaries=true","Visa")</f>
        <v>Visa</v>
      </c>
      <c r="H138" s="5" t="s">
        <v>8</v>
      </c>
      <c r="I138" s="8">
        <v>45.50864</v>
      </c>
      <c r="J138" s="9">
        <v>52.22092</v>
      </c>
      <c r="K138" s="9">
        <v>53.749499999999998</v>
      </c>
      <c r="L138" s="14">
        <v>46.514380000000003</v>
      </c>
      <c r="M138" s="9">
        <v>52.650030000000001</v>
      </c>
      <c r="N138" s="9">
        <v>54.268000000000001</v>
      </c>
      <c r="O138" s="14">
        <v>46.664999999999999</v>
      </c>
      <c r="P138" s="9">
        <v>52.67848</v>
      </c>
      <c r="Q138" s="9">
        <v>54.297319999999999</v>
      </c>
      <c r="R138" s="23">
        <v>37.387329999999999</v>
      </c>
      <c r="S138" s="8">
        <v>0.15062</v>
      </c>
      <c r="T138" s="9">
        <v>2.845E-2</v>
      </c>
      <c r="U138" s="24">
        <v>2.9319999999999999E-2</v>
      </c>
    </row>
    <row r="139" spans="1:21" ht="12" customHeight="1" x14ac:dyDescent="0.25">
      <c r="A139" s="5">
        <v>344</v>
      </c>
      <c r="B139" s="19" t="s">
        <v>97</v>
      </c>
      <c r="C139" s="19" t="s">
        <v>12</v>
      </c>
      <c r="D139" s="5" t="s">
        <v>98</v>
      </c>
      <c r="E139" s="6">
        <v>366863.92027614999</v>
      </c>
      <c r="F139" s="6">
        <v>6548279.0607882002</v>
      </c>
      <c r="G139" s="7" t="str">
        <f>HYPERLINK("https://minkarta.lantmateriet.se/?e=366863,92027615&amp;n=6548279,0607882&amp;z=12&amp;profile=flygbildmedgranser&amp;background=2&amp;boundaries=true","Visa")</f>
        <v>Visa</v>
      </c>
      <c r="H139" s="5" t="s">
        <v>9</v>
      </c>
      <c r="I139" s="8">
        <v>42.250320000000002</v>
      </c>
      <c r="J139" s="9">
        <v>53.811839999999997</v>
      </c>
      <c r="K139" s="9">
        <v>55.340420000000002</v>
      </c>
      <c r="L139" s="14">
        <v>43.170789999999997</v>
      </c>
      <c r="M139" s="9">
        <v>54.240949999999998</v>
      </c>
      <c r="N139" s="9">
        <v>55.858919999999998</v>
      </c>
      <c r="O139" s="14">
        <v>43.209060000000001</v>
      </c>
      <c r="P139" s="9">
        <v>54.269399999999997</v>
      </c>
      <c r="Q139" s="9">
        <v>55.888240000000003</v>
      </c>
      <c r="R139" s="23">
        <v>41.379989999999999</v>
      </c>
      <c r="S139" s="8">
        <v>3.8269999999999998E-2</v>
      </c>
      <c r="T139" s="9">
        <v>2.845E-2</v>
      </c>
      <c r="U139" s="24">
        <v>2.9319999999999999E-2</v>
      </c>
    </row>
    <row r="140" spans="1:21" ht="12" customHeight="1" x14ac:dyDescent="0.25">
      <c r="A140" s="5">
        <v>345</v>
      </c>
      <c r="B140" s="19" t="s">
        <v>97</v>
      </c>
      <c r="C140" s="19" t="s">
        <v>12</v>
      </c>
      <c r="D140" s="5" t="s">
        <v>98</v>
      </c>
      <c r="E140" s="6">
        <v>366856.46671410999</v>
      </c>
      <c r="F140" s="6">
        <v>6548274.8072760003</v>
      </c>
      <c r="G140" s="7" t="str">
        <f>HYPERLINK("https://minkarta.lantmateriet.se/?e=366856,46671411&amp;n=6548274,807276&amp;z=12&amp;profile=flygbildmedgranser&amp;background=2&amp;boundaries=true","Visa")</f>
        <v>Visa</v>
      </c>
      <c r="H140" s="5" t="s">
        <v>10</v>
      </c>
      <c r="I140" s="8">
        <v>46.13458</v>
      </c>
      <c r="J140" s="9">
        <v>60.260890000000003</v>
      </c>
      <c r="K140" s="9">
        <v>61.789470000000001</v>
      </c>
      <c r="L140" s="14">
        <v>47.048079999999999</v>
      </c>
      <c r="M140" s="9">
        <v>60.69</v>
      </c>
      <c r="N140" s="9">
        <v>62.307960000000001</v>
      </c>
      <c r="O140" s="14">
        <v>47.196860000000001</v>
      </c>
      <c r="P140" s="9">
        <v>60.718449999999997</v>
      </c>
      <c r="Q140" s="9">
        <v>62.33728</v>
      </c>
      <c r="R140" s="23">
        <v>37.931139999999999</v>
      </c>
      <c r="S140" s="8">
        <v>0.14878</v>
      </c>
      <c r="T140" s="9">
        <v>2.845E-2</v>
      </c>
      <c r="U140" s="24">
        <v>2.9319999999999999E-2</v>
      </c>
    </row>
    <row r="141" spans="1:21" ht="12" customHeight="1" x14ac:dyDescent="0.25">
      <c r="A141" s="5">
        <v>346</v>
      </c>
      <c r="B141" s="19" t="s">
        <v>97</v>
      </c>
      <c r="C141" s="19" t="s">
        <v>12</v>
      </c>
      <c r="D141" s="5" t="s">
        <v>98</v>
      </c>
      <c r="E141" s="6">
        <v>366856.95372584998</v>
      </c>
      <c r="F141" s="6">
        <v>6548266.2382158004</v>
      </c>
      <c r="G141" s="7" t="str">
        <f>HYPERLINK("https://minkarta.lantmateriet.se/?e=366856,95372585&amp;n=6548266,2382158&amp;z=12&amp;profile=flygbildmedgranser&amp;background=2&amp;boundaries=true","Visa")</f>
        <v>Visa</v>
      </c>
      <c r="H141" s="5" t="s">
        <v>11</v>
      </c>
      <c r="I141" s="8">
        <v>48.225239999999999</v>
      </c>
      <c r="J141" s="9">
        <v>62.573560000000001</v>
      </c>
      <c r="K141" s="9">
        <v>64.102140000000006</v>
      </c>
      <c r="L141" s="14">
        <v>49.135820000000002</v>
      </c>
      <c r="M141" s="9">
        <v>63.002670000000002</v>
      </c>
      <c r="N141" s="9">
        <v>64.620639999999995</v>
      </c>
      <c r="O141" s="14">
        <v>49.242100000000001</v>
      </c>
      <c r="P141" s="9">
        <v>63.031120000000001</v>
      </c>
      <c r="Q141" s="9">
        <v>64.649959999999993</v>
      </c>
      <c r="R141" s="23">
        <v>42.227119999999999</v>
      </c>
      <c r="S141" s="8">
        <v>0.10628</v>
      </c>
      <c r="T141" s="9">
        <v>2.845E-2</v>
      </c>
      <c r="U141" s="24">
        <v>2.9319999999999999E-2</v>
      </c>
    </row>
    <row r="142" spans="1:21" ht="12" customHeight="1" x14ac:dyDescent="0.25">
      <c r="A142" s="5">
        <v>347</v>
      </c>
      <c r="B142" s="19" t="s">
        <v>99</v>
      </c>
      <c r="C142" s="19" t="s">
        <v>12</v>
      </c>
      <c r="D142" s="5" t="s">
        <v>100</v>
      </c>
      <c r="E142" s="6">
        <v>366875.73815105</v>
      </c>
      <c r="F142" s="6">
        <v>6548293.0224676002</v>
      </c>
      <c r="G142" s="7" t="str">
        <f>HYPERLINK("https://minkarta.lantmateriet.se/?e=366875,73815105&amp;n=6548293,0224676&amp;z=12&amp;profile=flygbildmedgranser&amp;background=2&amp;boundaries=true","Visa")</f>
        <v>Visa</v>
      </c>
      <c r="H142" s="5" t="s">
        <v>8</v>
      </c>
      <c r="I142" s="8">
        <v>45.374130000000001</v>
      </c>
      <c r="J142" s="9">
        <v>51.29298</v>
      </c>
      <c r="K142" s="9">
        <v>52.821559999999998</v>
      </c>
      <c r="L142" s="14">
        <v>46.31362</v>
      </c>
      <c r="M142" s="9">
        <v>51.722090000000001</v>
      </c>
      <c r="N142" s="9">
        <v>53.340049999999998</v>
      </c>
      <c r="O142" s="14">
        <v>46.442410000000002</v>
      </c>
      <c r="P142" s="9">
        <v>51.750540000000001</v>
      </c>
      <c r="Q142" s="9">
        <v>53.369370000000004</v>
      </c>
      <c r="R142" s="23">
        <v>34.057389999999998</v>
      </c>
      <c r="S142" s="8">
        <v>0.12878999999999999</v>
      </c>
      <c r="T142" s="9">
        <v>2.845E-2</v>
      </c>
      <c r="U142" s="24">
        <v>2.9319999999999999E-2</v>
      </c>
    </row>
    <row r="143" spans="1:21" ht="12" customHeight="1" x14ac:dyDescent="0.25">
      <c r="A143" s="5">
        <v>348</v>
      </c>
      <c r="B143" s="19" t="s">
        <v>99</v>
      </c>
      <c r="C143" s="19" t="s">
        <v>12</v>
      </c>
      <c r="D143" s="5" t="s">
        <v>100</v>
      </c>
      <c r="E143" s="6">
        <v>366874.54703587003</v>
      </c>
      <c r="F143" s="6">
        <v>6548301.4986519003</v>
      </c>
      <c r="G143" s="7" t="str">
        <f>HYPERLINK("https://minkarta.lantmateriet.se/?e=366874,54703587&amp;n=6548301,4986519&amp;z=12&amp;profile=flygbildmedgranser&amp;background=2&amp;boundaries=true","Visa")</f>
        <v>Visa</v>
      </c>
      <c r="H143" s="5" t="s">
        <v>9</v>
      </c>
      <c r="I143" s="8">
        <v>40.9009</v>
      </c>
      <c r="J143" s="9">
        <v>49.797879999999999</v>
      </c>
      <c r="K143" s="9">
        <v>51.326459999999997</v>
      </c>
      <c r="L143" s="14">
        <v>41.82159</v>
      </c>
      <c r="M143" s="9">
        <v>50.226990000000001</v>
      </c>
      <c r="N143" s="9">
        <v>51.84496</v>
      </c>
      <c r="O143" s="14">
        <v>42.087380000000003</v>
      </c>
      <c r="P143" s="9">
        <v>50.25544</v>
      </c>
      <c r="Q143" s="9">
        <v>51.874279999999999</v>
      </c>
      <c r="R143" s="23">
        <v>43.609580000000001</v>
      </c>
      <c r="S143" s="8">
        <v>0.26579000000000003</v>
      </c>
      <c r="T143" s="9">
        <v>2.845E-2</v>
      </c>
      <c r="U143" s="24">
        <v>2.9319999999999999E-2</v>
      </c>
    </row>
    <row r="144" spans="1:21" ht="12" customHeight="1" x14ac:dyDescent="0.25">
      <c r="A144" s="5">
        <v>349</v>
      </c>
      <c r="B144" s="19" t="s">
        <v>99</v>
      </c>
      <c r="C144" s="19" t="s">
        <v>12</v>
      </c>
      <c r="D144" s="5" t="s">
        <v>100</v>
      </c>
      <c r="E144" s="6">
        <v>366867.48635080998</v>
      </c>
      <c r="F144" s="6">
        <v>6548296.6620361004</v>
      </c>
      <c r="G144" s="7" t="str">
        <f>HYPERLINK("https://minkarta.lantmateriet.se/?e=366867,48635081&amp;n=6548296,6620361&amp;z=12&amp;profile=flygbildmedgranser&amp;background=2&amp;boundaries=true","Visa")</f>
        <v>Visa</v>
      </c>
      <c r="H144" s="5" t="s">
        <v>10</v>
      </c>
      <c r="I144" s="8">
        <v>42.13561</v>
      </c>
      <c r="J144" s="9">
        <v>54.71613</v>
      </c>
      <c r="K144" s="9">
        <v>56.244709999999998</v>
      </c>
      <c r="L144" s="14">
        <v>43.05688</v>
      </c>
      <c r="M144" s="9">
        <v>55.145229999999998</v>
      </c>
      <c r="N144" s="9">
        <v>56.763199999999998</v>
      </c>
      <c r="O144" s="14">
        <v>43.311790000000002</v>
      </c>
      <c r="P144" s="9">
        <v>55.173679999999997</v>
      </c>
      <c r="Q144" s="9">
        <v>56.792520000000003</v>
      </c>
      <c r="R144" s="23">
        <v>42.436050000000002</v>
      </c>
      <c r="S144" s="8">
        <v>0.25491000000000003</v>
      </c>
      <c r="T144" s="9">
        <v>2.845E-2</v>
      </c>
      <c r="U144" s="24">
        <v>2.9319999999999999E-2</v>
      </c>
    </row>
    <row r="145" spans="1:21" ht="12" customHeight="1" x14ac:dyDescent="0.25">
      <c r="A145" s="5">
        <v>350</v>
      </c>
      <c r="B145" s="19" t="s">
        <v>99</v>
      </c>
      <c r="C145" s="19" t="s">
        <v>12</v>
      </c>
      <c r="D145" s="5" t="s">
        <v>100</v>
      </c>
      <c r="E145" s="6">
        <v>366868.67746479</v>
      </c>
      <c r="F145" s="6">
        <v>6548288.1858526999</v>
      </c>
      <c r="G145" s="7" t="str">
        <f>HYPERLINK("https://minkarta.lantmateriet.se/?e=366868,67746479&amp;n=6548288,1858527&amp;z=12&amp;profile=flygbildmedgranser&amp;background=2&amp;boundaries=true","Visa")</f>
        <v>Visa</v>
      </c>
      <c r="H145" s="5" t="s">
        <v>11</v>
      </c>
      <c r="I145" s="8">
        <v>41.659550000000003</v>
      </c>
      <c r="J145" s="9">
        <v>56.988880000000002</v>
      </c>
      <c r="K145" s="9">
        <v>58.51746</v>
      </c>
      <c r="L145" s="14">
        <v>42.587220000000002</v>
      </c>
      <c r="M145" s="9">
        <v>57.417990000000003</v>
      </c>
      <c r="N145" s="9">
        <v>59.035960000000003</v>
      </c>
      <c r="O145" s="14">
        <v>42.783729999999998</v>
      </c>
      <c r="P145" s="9">
        <v>57.446440000000003</v>
      </c>
      <c r="Q145" s="9">
        <v>59.065280000000001</v>
      </c>
      <c r="R145" s="23">
        <v>36.457569999999997</v>
      </c>
      <c r="S145" s="8">
        <v>0.19650999999999999</v>
      </c>
      <c r="T145" s="9">
        <v>2.845E-2</v>
      </c>
      <c r="U145" s="24">
        <v>2.9319999999999999E-2</v>
      </c>
    </row>
    <row r="146" spans="1:21" ht="12" customHeight="1" x14ac:dyDescent="0.25">
      <c r="A146" s="5">
        <v>351</v>
      </c>
      <c r="B146" s="19" t="s">
        <v>101</v>
      </c>
      <c r="C146" s="19" t="s">
        <v>12</v>
      </c>
      <c r="D146" s="5" t="s">
        <v>102</v>
      </c>
      <c r="E146" s="6">
        <v>366883.89197711</v>
      </c>
      <c r="F146" s="6">
        <v>6548317.5318077002</v>
      </c>
      <c r="G146" s="7" t="str">
        <f>HYPERLINK("https://minkarta.lantmateriet.se/?e=366883,89197711&amp;n=6548317,5318077&amp;z=12&amp;profile=flygbildmedgranser&amp;background=2&amp;boundaries=true","Visa")</f>
        <v>Visa</v>
      </c>
      <c r="H146" s="5" t="s">
        <v>13</v>
      </c>
      <c r="I146" s="8">
        <v>42.517679999999999</v>
      </c>
      <c r="J146" s="9">
        <v>49.119480000000003</v>
      </c>
      <c r="K146" s="9">
        <v>50.648060000000001</v>
      </c>
      <c r="L146" s="14">
        <v>43.455260000000003</v>
      </c>
      <c r="M146" s="9">
        <v>49.548580000000001</v>
      </c>
      <c r="N146" s="9">
        <v>51.166550000000001</v>
      </c>
      <c r="O146" s="14">
        <v>43.571550000000002</v>
      </c>
      <c r="P146" s="9">
        <v>49.577030000000001</v>
      </c>
      <c r="Q146" s="9">
        <v>51.195869999999999</v>
      </c>
      <c r="R146" s="23">
        <v>38.377110000000002</v>
      </c>
      <c r="S146" s="8">
        <v>0.11629</v>
      </c>
      <c r="T146" s="9">
        <v>2.845E-2</v>
      </c>
      <c r="U146" s="24">
        <v>2.9319999999999999E-2</v>
      </c>
    </row>
    <row r="147" spans="1:21" ht="12" customHeight="1" x14ac:dyDescent="0.25">
      <c r="A147" s="5">
        <v>352</v>
      </c>
      <c r="B147" s="19" t="s">
        <v>101</v>
      </c>
      <c r="C147" s="19" t="s">
        <v>12</v>
      </c>
      <c r="D147" s="5" t="s">
        <v>102</v>
      </c>
      <c r="E147" s="6">
        <v>366882.4981965</v>
      </c>
      <c r="F147" s="6">
        <v>6548325.5764776999</v>
      </c>
      <c r="G147" s="7" t="str">
        <f>HYPERLINK("https://minkarta.lantmateriet.se/?e=366882,4981965&amp;n=6548325,5764777&amp;z=12&amp;profile=flygbildmedgranser&amp;background=2&amp;boundaries=true","Visa")</f>
        <v>Visa</v>
      </c>
      <c r="H147" s="5" t="s">
        <v>14</v>
      </c>
      <c r="I147" s="8">
        <v>40.877549999999999</v>
      </c>
      <c r="J147" s="9">
        <v>47.821249999999999</v>
      </c>
      <c r="K147" s="9">
        <v>49.349829999999997</v>
      </c>
      <c r="L147" s="14">
        <v>41.798110000000001</v>
      </c>
      <c r="M147" s="9">
        <v>48.250360000000001</v>
      </c>
      <c r="N147" s="9">
        <v>49.86833</v>
      </c>
      <c r="O147" s="14">
        <v>41.911949999999997</v>
      </c>
      <c r="P147" s="9">
        <v>48.585850000000001</v>
      </c>
      <c r="Q147" s="9">
        <v>49.897649999999999</v>
      </c>
      <c r="R147" s="23">
        <v>44.242570000000001</v>
      </c>
      <c r="S147" s="8">
        <v>0.11384</v>
      </c>
      <c r="T147" s="9">
        <v>0.33549000000000001</v>
      </c>
      <c r="U147" s="24">
        <v>2.9319999999999999E-2</v>
      </c>
    </row>
    <row r="148" spans="1:21" ht="12" customHeight="1" x14ac:dyDescent="0.25">
      <c r="A148" s="5">
        <v>353</v>
      </c>
      <c r="B148" s="19" t="s">
        <v>101</v>
      </c>
      <c r="C148" s="19" t="s">
        <v>12</v>
      </c>
      <c r="D148" s="5" t="s">
        <v>102</v>
      </c>
      <c r="E148" s="6">
        <v>366876.51852510998</v>
      </c>
      <c r="F148" s="6">
        <v>6548320.0181969004</v>
      </c>
      <c r="G148" s="7" t="str">
        <f>HYPERLINK("https://minkarta.lantmateriet.se/?e=366876,51852511&amp;n=6548320,0181969&amp;z=12&amp;profile=flygbildmedgranser&amp;background=2&amp;boundaries=true","Visa")</f>
        <v>Visa</v>
      </c>
      <c r="H148" s="5" t="s">
        <v>16</v>
      </c>
      <c r="I148" s="8">
        <v>40.542360000000002</v>
      </c>
      <c r="J148" s="9">
        <v>49.141570000000002</v>
      </c>
      <c r="K148" s="9">
        <v>50.67015</v>
      </c>
      <c r="L148" s="14">
        <v>41.47128</v>
      </c>
      <c r="M148" s="9">
        <v>49.570680000000003</v>
      </c>
      <c r="N148" s="9">
        <v>51.188639999999999</v>
      </c>
      <c r="O148" s="14">
        <v>41.782789999999999</v>
      </c>
      <c r="P148" s="9">
        <v>49.599130000000002</v>
      </c>
      <c r="Q148" s="9">
        <v>51.217959999999998</v>
      </c>
      <c r="R148" s="23">
        <v>43.441459999999999</v>
      </c>
      <c r="S148" s="8">
        <v>0.31151000000000001</v>
      </c>
      <c r="T148" s="9">
        <v>2.845E-2</v>
      </c>
      <c r="U148" s="24">
        <v>2.9319999999999999E-2</v>
      </c>
    </row>
    <row r="149" spans="1:21" ht="12" customHeight="1" x14ac:dyDescent="0.25">
      <c r="A149" s="5">
        <v>354</v>
      </c>
      <c r="B149" s="19" t="s">
        <v>101</v>
      </c>
      <c r="C149" s="19" t="s">
        <v>12</v>
      </c>
      <c r="D149" s="5" t="s">
        <v>102</v>
      </c>
      <c r="E149" s="6">
        <v>366877.91230589</v>
      </c>
      <c r="F149" s="6">
        <v>6548311.9735262003</v>
      </c>
      <c r="G149" s="7" t="str">
        <f>HYPERLINK("https://minkarta.lantmateriet.se/?e=366877,91230589&amp;n=6548311,9735262&amp;z=12&amp;profile=flygbildmedgranser&amp;background=2&amp;boundaries=true","Visa")</f>
        <v>Visa</v>
      </c>
      <c r="H149" s="5" t="s">
        <v>15</v>
      </c>
      <c r="I149" s="8">
        <v>39.053719999999998</v>
      </c>
      <c r="J149" s="9">
        <v>50.655380000000001</v>
      </c>
      <c r="K149" s="9">
        <v>52.183959999999999</v>
      </c>
      <c r="L149" s="14">
        <v>39.975020000000001</v>
      </c>
      <c r="M149" s="9">
        <v>51.084490000000002</v>
      </c>
      <c r="N149" s="9">
        <v>52.702449999999999</v>
      </c>
      <c r="O149" s="14">
        <v>40.046990000000001</v>
      </c>
      <c r="P149" s="9">
        <v>51.112940000000002</v>
      </c>
      <c r="Q149" s="9">
        <v>52.731769999999997</v>
      </c>
      <c r="R149" s="23">
        <v>33.201459999999997</v>
      </c>
      <c r="S149" s="8">
        <v>7.1970000000000006E-2</v>
      </c>
      <c r="T149" s="9">
        <v>2.845E-2</v>
      </c>
      <c r="U149" s="24">
        <v>2.9319999999999999E-2</v>
      </c>
    </row>
    <row r="150" spans="1:21" ht="12" customHeight="1" x14ac:dyDescent="0.25">
      <c r="A150" s="5">
        <v>355</v>
      </c>
      <c r="B150" s="19" t="s">
        <v>103</v>
      </c>
      <c r="C150" s="19" t="s">
        <v>12</v>
      </c>
      <c r="D150" s="5" t="s">
        <v>104</v>
      </c>
      <c r="E150" s="6">
        <v>366892.53008920001</v>
      </c>
      <c r="F150" s="6">
        <v>6548342.3946618</v>
      </c>
      <c r="G150" s="7" t="str">
        <f>HYPERLINK("https://minkarta.lantmateriet.se/?e=366892,5300892&amp;n=6548342,3946618&amp;z=12&amp;profile=flygbildmedgranser&amp;background=2&amp;boundaries=true","Visa")</f>
        <v>Visa</v>
      </c>
      <c r="H150" s="5" t="s">
        <v>13</v>
      </c>
      <c r="I150" s="8">
        <v>40.227550000000001</v>
      </c>
      <c r="J150" s="9">
        <v>45.294240000000002</v>
      </c>
      <c r="K150" s="9">
        <v>46.748199999999997</v>
      </c>
      <c r="L150" s="14">
        <v>41.169960000000003</v>
      </c>
      <c r="M150" s="9">
        <v>45.745240000000003</v>
      </c>
      <c r="N150" s="9">
        <v>49.215890000000002</v>
      </c>
      <c r="O150" s="14">
        <v>41.413420000000002</v>
      </c>
      <c r="P150" s="9">
        <v>46.778550000000003</v>
      </c>
      <c r="Q150" s="9">
        <v>49.633130000000001</v>
      </c>
      <c r="R150" s="23">
        <v>29.59459</v>
      </c>
      <c r="S150" s="8">
        <v>0.24346000000000001</v>
      </c>
      <c r="T150" s="9">
        <v>1.03331</v>
      </c>
      <c r="U150" s="24">
        <v>0.41724</v>
      </c>
    </row>
    <row r="151" spans="1:21" ht="12" customHeight="1" x14ac:dyDescent="0.25">
      <c r="A151" s="5">
        <v>356</v>
      </c>
      <c r="B151" s="19" t="s">
        <v>103</v>
      </c>
      <c r="C151" s="19" t="s">
        <v>12</v>
      </c>
      <c r="D151" s="5" t="s">
        <v>104</v>
      </c>
      <c r="E151" s="6">
        <v>366890.18284005002</v>
      </c>
      <c r="F151" s="6">
        <v>6548350.1815905003</v>
      </c>
      <c r="G151" s="7" t="str">
        <f>HYPERLINK("https://minkarta.lantmateriet.se/?e=366890,18284005&amp;n=6548350,1815905&amp;z=12&amp;profile=flygbildmedgranser&amp;background=2&amp;boundaries=true","Visa")</f>
        <v>Visa</v>
      </c>
      <c r="H151" s="5" t="s">
        <v>14</v>
      </c>
      <c r="I151" s="8">
        <v>39.89537</v>
      </c>
      <c r="J151" s="9">
        <v>44.94706</v>
      </c>
      <c r="K151" s="9">
        <v>46.401029999999999</v>
      </c>
      <c r="L151" s="14">
        <v>40.824599999999997</v>
      </c>
      <c r="M151" s="9">
        <v>45.446559999999998</v>
      </c>
      <c r="N151" s="9">
        <v>48.91722</v>
      </c>
      <c r="O151" s="14">
        <v>41.356369999999998</v>
      </c>
      <c r="P151" s="9">
        <v>52.735520000000001</v>
      </c>
      <c r="Q151" s="9">
        <v>52.735520000000001</v>
      </c>
      <c r="R151" s="23">
        <v>48.453510000000001</v>
      </c>
      <c r="S151" s="8">
        <v>0.53176999999999996</v>
      </c>
      <c r="T151" s="9">
        <v>7.2889600000000003</v>
      </c>
      <c r="U151" s="24">
        <v>3.8182999999999998</v>
      </c>
    </row>
    <row r="152" spans="1:21" ht="12" customHeight="1" x14ac:dyDescent="0.25">
      <c r="A152" s="5">
        <v>357</v>
      </c>
      <c r="B152" s="19" t="s">
        <v>103</v>
      </c>
      <c r="C152" s="19" t="s">
        <v>12</v>
      </c>
      <c r="D152" s="5" t="s">
        <v>104</v>
      </c>
      <c r="E152" s="6">
        <v>366883.97291274002</v>
      </c>
      <c r="F152" s="6">
        <v>6548344.9278419996</v>
      </c>
      <c r="G152" s="7" t="str">
        <f>HYPERLINK("https://minkarta.lantmateriet.se/?e=366883,97291274&amp;n=6548344,927842&amp;z=12&amp;profile=flygbildmedgranser&amp;background=2&amp;boundaries=true","Visa")</f>
        <v>Visa</v>
      </c>
      <c r="H152" s="5" t="s">
        <v>16</v>
      </c>
      <c r="I152" s="8">
        <v>40.324959999999997</v>
      </c>
      <c r="J152" s="9">
        <v>46.749540000000003</v>
      </c>
      <c r="K152" s="9">
        <v>48.278120000000001</v>
      </c>
      <c r="L152" s="14">
        <v>41.25806</v>
      </c>
      <c r="M152" s="9">
        <v>47.178649999999998</v>
      </c>
      <c r="N152" s="9">
        <v>49.533099999999997</v>
      </c>
      <c r="O152" s="14">
        <v>41.719070000000002</v>
      </c>
      <c r="P152" s="9">
        <v>48.049039999999998</v>
      </c>
      <c r="Q152" s="9">
        <v>49.90184</v>
      </c>
      <c r="R152" s="23">
        <v>46.114960000000004</v>
      </c>
      <c r="S152" s="8">
        <v>0.46100999999999998</v>
      </c>
      <c r="T152" s="9">
        <v>0.87039</v>
      </c>
      <c r="U152" s="24">
        <v>0.36874000000000001</v>
      </c>
    </row>
    <row r="153" spans="1:21" ht="12" customHeight="1" x14ac:dyDescent="0.25">
      <c r="A153" s="5">
        <v>358</v>
      </c>
      <c r="B153" s="19" t="s">
        <v>103</v>
      </c>
      <c r="C153" s="19" t="s">
        <v>12</v>
      </c>
      <c r="D153" s="5" t="s">
        <v>104</v>
      </c>
      <c r="E153" s="6">
        <v>366886.32016298</v>
      </c>
      <c r="F153" s="6">
        <v>6548337.1409131996</v>
      </c>
      <c r="G153" s="7" t="str">
        <f>HYPERLINK("https://minkarta.lantmateriet.se/?e=366886,32016298&amp;n=6548337,1409132&amp;z=12&amp;profile=flygbildmedgranser&amp;background=2&amp;boundaries=true","Visa")</f>
        <v>Visa</v>
      </c>
      <c r="H153" s="5" t="s">
        <v>15</v>
      </c>
      <c r="I153" s="8">
        <v>38.215560000000004</v>
      </c>
      <c r="J153" s="9">
        <v>46.975769999999997</v>
      </c>
      <c r="K153" s="9">
        <v>48.504339999999999</v>
      </c>
      <c r="L153" s="14">
        <v>39.143700000000003</v>
      </c>
      <c r="M153" s="9">
        <v>47.404870000000003</v>
      </c>
      <c r="N153" s="9">
        <v>49.022840000000002</v>
      </c>
      <c r="O153" s="14">
        <v>39.366709999999998</v>
      </c>
      <c r="P153" s="9">
        <v>47.433320000000002</v>
      </c>
      <c r="Q153" s="9">
        <v>49.052160000000001</v>
      </c>
      <c r="R153" s="23">
        <v>33.611319999999999</v>
      </c>
      <c r="S153" s="8">
        <v>0.22301000000000001</v>
      </c>
      <c r="T153" s="9">
        <v>2.845E-2</v>
      </c>
      <c r="U153" s="24">
        <v>2.9319999999999999E-2</v>
      </c>
    </row>
    <row r="154" spans="1:21" ht="12" customHeight="1" x14ac:dyDescent="0.25">
      <c r="A154" s="5">
        <v>359</v>
      </c>
      <c r="B154" s="19" t="s">
        <v>105</v>
      </c>
      <c r="C154" s="19" t="s">
        <v>12</v>
      </c>
      <c r="D154" s="5" t="s">
        <v>106</v>
      </c>
      <c r="E154" s="6">
        <v>366902.82208474999</v>
      </c>
      <c r="F154" s="6">
        <v>6548364.5411468996</v>
      </c>
      <c r="G154" s="7" t="str">
        <f>HYPERLINK("https://minkarta.lantmateriet.se/?e=366902,82208475&amp;n=6548364,5411469&amp;z=12&amp;profile=flygbildmedgranser&amp;background=2&amp;boundaries=true","Visa")</f>
        <v>Visa</v>
      </c>
      <c r="H154" s="5" t="s">
        <v>13</v>
      </c>
      <c r="I154" s="8">
        <v>40.179879999999997</v>
      </c>
      <c r="J154" s="9">
        <v>47.685580000000002</v>
      </c>
      <c r="K154" s="9">
        <v>49.21416</v>
      </c>
      <c r="L154" s="14">
        <v>41.112520000000004</v>
      </c>
      <c r="M154" s="9">
        <v>48.114690000000003</v>
      </c>
      <c r="N154" s="9">
        <v>50.051169999999999</v>
      </c>
      <c r="O154" s="14">
        <v>41.230289999999997</v>
      </c>
      <c r="P154" s="9">
        <v>48.143140000000002</v>
      </c>
      <c r="Q154" s="9">
        <v>50.419899999999998</v>
      </c>
      <c r="R154" s="23">
        <v>30.087340000000001</v>
      </c>
      <c r="S154" s="8">
        <v>0.11777</v>
      </c>
      <c r="T154" s="9">
        <v>2.845E-2</v>
      </c>
      <c r="U154" s="24">
        <v>0.36873</v>
      </c>
    </row>
    <row r="155" spans="1:21" ht="12" customHeight="1" x14ac:dyDescent="0.25">
      <c r="A155" s="5">
        <v>360</v>
      </c>
      <c r="B155" s="19" t="s">
        <v>105</v>
      </c>
      <c r="C155" s="19" t="s">
        <v>12</v>
      </c>
      <c r="D155" s="5" t="s">
        <v>106</v>
      </c>
      <c r="E155" s="6">
        <v>366900.5843555</v>
      </c>
      <c r="F155" s="6">
        <v>6548372.7335858997</v>
      </c>
      <c r="G155" s="7" t="str">
        <f>HYPERLINK("https://minkarta.lantmateriet.se/?e=366900,5843555&amp;n=6548372,7335859&amp;z=12&amp;profile=flygbildmedgranser&amp;background=2&amp;boundaries=true","Visa")</f>
        <v>Visa</v>
      </c>
      <c r="H155" s="5" t="s">
        <v>14</v>
      </c>
      <c r="I155" s="8">
        <v>39.957729999999998</v>
      </c>
      <c r="J155" s="9">
        <v>49.41648</v>
      </c>
      <c r="K155" s="9">
        <v>50.870449999999998</v>
      </c>
      <c r="L155" s="14">
        <v>40.892130000000002</v>
      </c>
      <c r="M155" s="9">
        <v>49.915979999999998</v>
      </c>
      <c r="N155" s="9">
        <v>53.386629999999997</v>
      </c>
      <c r="O155" s="14">
        <v>41.408369999999998</v>
      </c>
      <c r="P155" s="9">
        <v>55.504510000000003</v>
      </c>
      <c r="Q155" s="9">
        <v>55.504510000000003</v>
      </c>
      <c r="R155" s="23">
        <v>44.380380000000002</v>
      </c>
      <c r="S155" s="8">
        <v>0.51624000000000003</v>
      </c>
      <c r="T155" s="9">
        <v>5.5885300000000004</v>
      </c>
      <c r="U155" s="24">
        <v>2.11788</v>
      </c>
    </row>
    <row r="156" spans="1:21" ht="12" customHeight="1" x14ac:dyDescent="0.25">
      <c r="A156" s="5">
        <v>361</v>
      </c>
      <c r="B156" s="19" t="s">
        <v>105</v>
      </c>
      <c r="C156" s="19" t="s">
        <v>12</v>
      </c>
      <c r="D156" s="5" t="s">
        <v>106</v>
      </c>
      <c r="E156" s="6">
        <v>366894.22791736998</v>
      </c>
      <c r="F156" s="6">
        <v>6548367.1018575002</v>
      </c>
      <c r="G156" s="7" t="str">
        <f>HYPERLINK("https://minkarta.lantmateriet.se/?e=366894,22791737&amp;n=6548367,1018575&amp;z=12&amp;profile=flygbildmedgranser&amp;background=2&amp;boundaries=true","Visa")</f>
        <v>Visa</v>
      </c>
      <c r="H156" s="5" t="s">
        <v>16</v>
      </c>
      <c r="I156" s="8">
        <v>39.844349999999999</v>
      </c>
      <c r="J156" s="9">
        <v>47.375689999999999</v>
      </c>
      <c r="K156" s="9">
        <v>48.829650000000001</v>
      </c>
      <c r="L156" s="14">
        <v>40.782919999999997</v>
      </c>
      <c r="M156" s="9">
        <v>47.875190000000003</v>
      </c>
      <c r="N156" s="9">
        <v>51.345840000000003</v>
      </c>
      <c r="O156" s="14">
        <v>41.274760000000001</v>
      </c>
      <c r="P156" s="9">
        <v>52.385249999999999</v>
      </c>
      <c r="Q156" s="9">
        <v>52.385249999999999</v>
      </c>
      <c r="R156" s="23">
        <v>46.388689999999997</v>
      </c>
      <c r="S156" s="8">
        <v>0.49184</v>
      </c>
      <c r="T156" s="9">
        <v>4.5100600000000002</v>
      </c>
      <c r="U156" s="24">
        <v>1.0394099999999999</v>
      </c>
    </row>
    <row r="157" spans="1:21" ht="12" customHeight="1" x14ac:dyDescent="0.25">
      <c r="A157" s="5">
        <v>362</v>
      </c>
      <c r="B157" s="19" t="s">
        <v>105</v>
      </c>
      <c r="C157" s="19" t="s">
        <v>12</v>
      </c>
      <c r="D157" s="5" t="s">
        <v>106</v>
      </c>
      <c r="E157" s="6">
        <v>366896.46564443997</v>
      </c>
      <c r="F157" s="6">
        <v>6548358.9094187003</v>
      </c>
      <c r="G157" s="7" t="str">
        <f>HYPERLINK("https://minkarta.lantmateriet.se/?e=366896,46564444&amp;n=6548358,9094187&amp;z=12&amp;profile=flygbildmedgranser&amp;background=2&amp;boundaries=true","Visa")</f>
        <v>Visa</v>
      </c>
      <c r="H157" s="5" t="s">
        <v>15</v>
      </c>
      <c r="I157" s="8">
        <v>39.893770000000004</v>
      </c>
      <c r="J157" s="9">
        <v>44.2179</v>
      </c>
      <c r="K157" s="9">
        <v>45.671869999999998</v>
      </c>
      <c r="L157" s="14">
        <v>40.832120000000003</v>
      </c>
      <c r="M157" s="9">
        <v>44.717399999999998</v>
      </c>
      <c r="N157" s="9">
        <v>48.18806</v>
      </c>
      <c r="O157" s="14">
        <v>40.91751</v>
      </c>
      <c r="P157" s="9">
        <v>45.700069999999997</v>
      </c>
      <c r="Q157" s="9">
        <v>48.554650000000002</v>
      </c>
      <c r="R157" s="23">
        <v>43.045319999999997</v>
      </c>
      <c r="S157" s="8">
        <v>8.5389999999999994E-2</v>
      </c>
      <c r="T157" s="9">
        <v>0.98267000000000004</v>
      </c>
      <c r="U157" s="24">
        <v>0.36659000000000003</v>
      </c>
    </row>
    <row r="158" spans="1:21" ht="12" customHeight="1" x14ac:dyDescent="0.25">
      <c r="A158" s="5">
        <v>363</v>
      </c>
      <c r="B158" s="19" t="s">
        <v>107</v>
      </c>
      <c r="C158" s="19" t="s">
        <v>12</v>
      </c>
      <c r="D158" s="5" t="s">
        <v>108</v>
      </c>
      <c r="E158" s="6">
        <v>367250.56616049999</v>
      </c>
      <c r="F158" s="6">
        <v>6548303.1024930999</v>
      </c>
      <c r="G158" s="7" t="str">
        <f>HYPERLINK("https://minkarta.lantmateriet.se/?e=367250,5661605&amp;n=6548303,1024931&amp;z=12&amp;profile=flygbildmedgranser&amp;background=2&amp;boundaries=true","Visa")</f>
        <v>Visa</v>
      </c>
      <c r="H158" s="5" t="s">
        <v>11</v>
      </c>
      <c r="I158" s="8">
        <v>42.200490000000002</v>
      </c>
      <c r="J158" s="9">
        <v>59.219729999999998</v>
      </c>
      <c r="K158" s="9">
        <v>60.673690000000001</v>
      </c>
      <c r="L158" s="14">
        <v>43.182079999999999</v>
      </c>
      <c r="M158" s="9">
        <v>59.71922</v>
      </c>
      <c r="N158" s="9">
        <v>63.189880000000002</v>
      </c>
      <c r="O158" s="14">
        <v>43.936610000000002</v>
      </c>
      <c r="P158" s="9">
        <v>60.704039999999999</v>
      </c>
      <c r="Q158" s="9">
        <v>63.558619999999998</v>
      </c>
      <c r="R158" s="23">
        <v>30.031110000000002</v>
      </c>
      <c r="S158" s="8">
        <v>0.75453000000000003</v>
      </c>
      <c r="T158" s="9">
        <v>0.98482000000000003</v>
      </c>
      <c r="U158" s="24">
        <v>0.36874000000000001</v>
      </c>
    </row>
    <row r="159" spans="1:21" ht="12" customHeight="1" x14ac:dyDescent="0.25">
      <c r="A159" s="5">
        <v>364</v>
      </c>
      <c r="B159" s="19" t="s">
        <v>107</v>
      </c>
      <c r="C159" s="19" t="s">
        <v>12</v>
      </c>
      <c r="D159" s="5" t="s">
        <v>108</v>
      </c>
      <c r="E159" s="6">
        <v>367257.21851052</v>
      </c>
      <c r="F159" s="6">
        <v>6548306.2436627997</v>
      </c>
      <c r="G159" s="7" t="str">
        <f>HYPERLINK("https://minkarta.lantmateriet.se/?e=367257,21851052&amp;n=6548306,2436628&amp;z=12&amp;profile=flygbildmedgranser&amp;background=2&amp;boundaries=true","Visa")</f>
        <v>Visa</v>
      </c>
      <c r="H159" s="5" t="s">
        <v>8</v>
      </c>
      <c r="I159" s="8">
        <v>49.656500000000001</v>
      </c>
      <c r="J159" s="9">
        <v>65.829509999999999</v>
      </c>
      <c r="K159" s="9">
        <v>67.283479999999997</v>
      </c>
      <c r="L159" s="14">
        <v>50.631830000000001</v>
      </c>
      <c r="M159" s="9">
        <v>66.329009999999997</v>
      </c>
      <c r="N159" s="9">
        <v>69.799670000000006</v>
      </c>
      <c r="O159" s="14">
        <v>51.563639999999999</v>
      </c>
      <c r="P159" s="9">
        <v>67.313839999999999</v>
      </c>
      <c r="Q159" s="9">
        <v>70.168409999999994</v>
      </c>
      <c r="R159" s="23">
        <v>23.37687</v>
      </c>
      <c r="S159" s="8">
        <v>0.93181000000000003</v>
      </c>
      <c r="T159" s="9">
        <v>0.98482999999999998</v>
      </c>
      <c r="U159" s="24">
        <v>0.36874000000000001</v>
      </c>
    </row>
    <row r="160" spans="1:21" ht="12" customHeight="1" x14ac:dyDescent="0.25">
      <c r="A160" s="5">
        <v>365</v>
      </c>
      <c r="B160" s="19" t="s">
        <v>107</v>
      </c>
      <c r="C160" s="19" t="s">
        <v>12</v>
      </c>
      <c r="D160" s="5" t="s">
        <v>108</v>
      </c>
      <c r="E160" s="6">
        <v>367255.52784062002</v>
      </c>
      <c r="F160" s="6">
        <v>6548313.4040112998</v>
      </c>
      <c r="G160" s="7" t="str">
        <f>HYPERLINK("https://minkarta.lantmateriet.se/?e=367255,52784062&amp;n=6548313,4040113&amp;z=12&amp;profile=flygbildmedgranser&amp;background=2&amp;boundaries=true","Visa")</f>
        <v>Visa</v>
      </c>
      <c r="H160" s="5" t="s">
        <v>9</v>
      </c>
      <c r="I160" s="8">
        <v>56.424329999999998</v>
      </c>
      <c r="J160" s="9">
        <v>70.28595</v>
      </c>
      <c r="K160" s="9">
        <v>71.739909999999995</v>
      </c>
      <c r="L160" s="14">
        <v>57.386389999999999</v>
      </c>
      <c r="M160" s="9">
        <v>70.785449999999997</v>
      </c>
      <c r="N160" s="9">
        <v>74.256100000000004</v>
      </c>
      <c r="O160" s="14">
        <v>58.334899999999998</v>
      </c>
      <c r="P160" s="9">
        <v>71.770259999999993</v>
      </c>
      <c r="Q160" s="9">
        <v>74.624840000000006</v>
      </c>
      <c r="R160" s="23">
        <v>30.236799999999999</v>
      </c>
      <c r="S160" s="8">
        <v>0.94850999999999996</v>
      </c>
      <c r="T160" s="9">
        <v>0.98480999999999996</v>
      </c>
      <c r="U160" s="24">
        <v>0.36874000000000001</v>
      </c>
    </row>
    <row r="161" spans="1:21" ht="12" customHeight="1" x14ac:dyDescent="0.25">
      <c r="A161" s="5">
        <v>366</v>
      </c>
      <c r="B161" s="19" t="s">
        <v>107</v>
      </c>
      <c r="C161" s="19" t="s">
        <v>12</v>
      </c>
      <c r="D161" s="5" t="s">
        <v>108</v>
      </c>
      <c r="E161" s="6">
        <v>367248.87549164001</v>
      </c>
      <c r="F161" s="6">
        <v>6548310.2628415003</v>
      </c>
      <c r="G161" s="7" t="str">
        <f>HYPERLINK("https://minkarta.lantmateriet.se/?e=367248,87549164&amp;n=6548310,2628415&amp;z=12&amp;profile=flygbildmedgranser&amp;background=2&amp;boundaries=true","Visa")</f>
        <v>Visa</v>
      </c>
      <c r="H161" s="5" t="s">
        <v>10</v>
      </c>
      <c r="I161" s="8">
        <v>53.602229999999999</v>
      </c>
      <c r="J161" s="9">
        <v>68.753680000000003</v>
      </c>
      <c r="K161" s="9">
        <v>70.207639999999998</v>
      </c>
      <c r="L161" s="14">
        <v>54.571680000000001</v>
      </c>
      <c r="M161" s="9">
        <v>69.253169999999997</v>
      </c>
      <c r="N161" s="9">
        <v>72.723830000000007</v>
      </c>
      <c r="O161" s="14">
        <v>55.51314</v>
      </c>
      <c r="P161" s="9">
        <v>70.237989999999996</v>
      </c>
      <c r="Q161" s="9">
        <v>73.092569999999995</v>
      </c>
      <c r="R161" s="23">
        <v>31.160530000000001</v>
      </c>
      <c r="S161" s="8">
        <v>0.94145999999999996</v>
      </c>
      <c r="T161" s="9">
        <v>0.98482000000000003</v>
      </c>
      <c r="U161" s="24">
        <v>0.36874000000000001</v>
      </c>
    </row>
    <row r="162" spans="1:21" ht="12" customHeight="1" x14ac:dyDescent="0.25">
      <c r="A162" s="5">
        <v>367</v>
      </c>
      <c r="B162" s="19" t="s">
        <v>109</v>
      </c>
      <c r="C162" s="19" t="s">
        <v>12</v>
      </c>
      <c r="D162" s="5" t="s">
        <v>110</v>
      </c>
      <c r="E162" s="6">
        <v>367248.52050842001</v>
      </c>
      <c r="F162" s="6">
        <v>6548288.3831583997</v>
      </c>
      <c r="G162" s="7" t="str">
        <f>HYPERLINK("https://minkarta.lantmateriet.se/?e=367248,52050842&amp;n=6548288,3831584&amp;z=12&amp;profile=flygbildmedgranser&amp;background=2&amp;boundaries=true","Visa")</f>
        <v>Visa</v>
      </c>
      <c r="H162" s="5" t="s">
        <v>8</v>
      </c>
      <c r="I162" s="8">
        <v>44.630330000000001</v>
      </c>
      <c r="J162" s="9">
        <v>61.366230000000002</v>
      </c>
      <c r="K162" s="9">
        <v>62.820189999999997</v>
      </c>
      <c r="L162" s="14">
        <v>45.610210000000002</v>
      </c>
      <c r="M162" s="9">
        <v>61.865720000000003</v>
      </c>
      <c r="N162" s="9">
        <v>65.336380000000005</v>
      </c>
      <c r="O162" s="14">
        <v>46.470059999999997</v>
      </c>
      <c r="P162" s="9">
        <v>62.850540000000002</v>
      </c>
      <c r="Q162" s="9">
        <v>65.705119999999994</v>
      </c>
      <c r="R162" s="23">
        <v>21.166340000000002</v>
      </c>
      <c r="S162" s="8">
        <v>0.85985</v>
      </c>
      <c r="T162" s="9">
        <v>0.98482000000000003</v>
      </c>
      <c r="U162" s="24">
        <v>0.36874000000000001</v>
      </c>
    </row>
    <row r="163" spans="1:21" ht="12" customHeight="1" x14ac:dyDescent="0.25">
      <c r="A163" s="5">
        <v>368</v>
      </c>
      <c r="B163" s="19" t="s">
        <v>109</v>
      </c>
      <c r="C163" s="19" t="s">
        <v>12</v>
      </c>
      <c r="D163" s="5" t="s">
        <v>110</v>
      </c>
      <c r="E163" s="6">
        <v>367246.72984664998</v>
      </c>
      <c r="F163" s="6">
        <v>6548295.6885083998</v>
      </c>
      <c r="G163" s="7" t="str">
        <f>HYPERLINK("https://minkarta.lantmateriet.se/?e=367246,72984665&amp;n=6548295,6885084&amp;z=12&amp;profile=flygbildmedgranser&amp;background=2&amp;boundaries=true","Visa")</f>
        <v>Visa</v>
      </c>
      <c r="H163" s="5" t="s">
        <v>9</v>
      </c>
      <c r="I163" s="8">
        <v>42.925269999999998</v>
      </c>
      <c r="J163" s="9">
        <v>57.432769999999998</v>
      </c>
      <c r="K163" s="9">
        <v>58.88673</v>
      </c>
      <c r="L163" s="14">
        <v>43.89649</v>
      </c>
      <c r="M163" s="9">
        <v>57.932259999999999</v>
      </c>
      <c r="N163" s="9">
        <v>61.402920000000002</v>
      </c>
      <c r="O163" s="14">
        <v>44.658360000000002</v>
      </c>
      <c r="P163" s="9">
        <v>58.917079999999999</v>
      </c>
      <c r="Q163" s="9">
        <v>61.771659999999997</v>
      </c>
      <c r="R163" s="23">
        <v>33.065150000000003</v>
      </c>
      <c r="S163" s="8">
        <v>0.76187000000000005</v>
      </c>
      <c r="T163" s="9">
        <v>0.98482000000000003</v>
      </c>
      <c r="U163" s="24">
        <v>0.36874000000000001</v>
      </c>
    </row>
    <row r="164" spans="1:21" ht="12" customHeight="1" x14ac:dyDescent="0.25">
      <c r="A164" s="5">
        <v>369</v>
      </c>
      <c r="B164" s="19" t="s">
        <v>109</v>
      </c>
      <c r="C164" s="19" t="s">
        <v>12</v>
      </c>
      <c r="D164" s="5" t="s">
        <v>110</v>
      </c>
      <c r="E164" s="6">
        <v>367239.89849425998</v>
      </c>
      <c r="F164" s="6">
        <v>6548292.5428470001</v>
      </c>
      <c r="G164" s="7" t="str">
        <f>HYPERLINK("https://minkarta.lantmateriet.se/?e=367239,89849426&amp;n=6548292,542847&amp;z=12&amp;profile=flygbildmedgranser&amp;background=2&amp;boundaries=true","Visa")</f>
        <v>Visa</v>
      </c>
      <c r="H164" s="5" t="s">
        <v>10</v>
      </c>
      <c r="I164" s="8">
        <v>43.596400000000003</v>
      </c>
      <c r="J164" s="9">
        <v>58.429720000000003</v>
      </c>
      <c r="K164" s="9">
        <v>59.883679999999998</v>
      </c>
      <c r="L164" s="14">
        <v>44.55585</v>
      </c>
      <c r="M164" s="9">
        <v>58.929209999999998</v>
      </c>
      <c r="N164" s="9">
        <v>62.39987</v>
      </c>
      <c r="O164" s="14">
        <v>45.304760000000002</v>
      </c>
      <c r="P164" s="9">
        <v>59.914029999999997</v>
      </c>
      <c r="Q164" s="9">
        <v>62.768610000000002</v>
      </c>
      <c r="R164" s="23">
        <v>33.786990000000003</v>
      </c>
      <c r="S164" s="8">
        <v>0.74890999999999996</v>
      </c>
      <c r="T164" s="9">
        <v>0.98482000000000003</v>
      </c>
      <c r="U164" s="24">
        <v>0.36874000000000001</v>
      </c>
    </row>
    <row r="165" spans="1:21" ht="12" customHeight="1" x14ac:dyDescent="0.25">
      <c r="A165" s="5">
        <v>370</v>
      </c>
      <c r="B165" s="19" t="s">
        <v>109</v>
      </c>
      <c r="C165" s="19" t="s">
        <v>12</v>
      </c>
      <c r="D165" s="5" t="s">
        <v>110</v>
      </c>
      <c r="E165" s="6">
        <v>367241.68915617</v>
      </c>
      <c r="F165" s="6">
        <v>6548285.2374951998</v>
      </c>
      <c r="G165" s="7" t="str">
        <f>HYPERLINK("https://minkarta.lantmateriet.se/?e=367241,68915617&amp;n=6548285,2374952&amp;z=12&amp;profile=flygbildmedgranser&amp;background=2&amp;boundaries=true","Visa")</f>
        <v>Visa</v>
      </c>
      <c r="H165" s="5" t="s">
        <v>11</v>
      </c>
      <c r="I165" s="8">
        <v>41.552280000000003</v>
      </c>
      <c r="J165" s="9">
        <v>55.544530000000002</v>
      </c>
      <c r="K165" s="9">
        <v>56.9985</v>
      </c>
      <c r="L165" s="14">
        <v>42.530520000000003</v>
      </c>
      <c r="M165" s="9">
        <v>56.044029999999999</v>
      </c>
      <c r="N165" s="9">
        <v>59.514690000000002</v>
      </c>
      <c r="O165" s="14">
        <v>43.227600000000002</v>
      </c>
      <c r="P165" s="9">
        <v>57.028849999999998</v>
      </c>
      <c r="Q165" s="9">
        <v>59.883420000000001</v>
      </c>
      <c r="R165" s="23">
        <v>32.892090000000003</v>
      </c>
      <c r="S165" s="8">
        <v>0.69708000000000003</v>
      </c>
      <c r="T165" s="9">
        <v>0.98482000000000003</v>
      </c>
      <c r="U165" s="24">
        <v>0.36873</v>
      </c>
    </row>
    <row r="166" spans="1:21" ht="12" customHeight="1" x14ac:dyDescent="0.25">
      <c r="A166" s="5">
        <v>371</v>
      </c>
      <c r="B166" s="19" t="s">
        <v>111</v>
      </c>
      <c r="C166" s="19" t="s">
        <v>12</v>
      </c>
      <c r="D166" s="5" t="s">
        <v>112</v>
      </c>
      <c r="E166" s="6">
        <v>367237.73151005001</v>
      </c>
      <c r="F166" s="6">
        <v>6548265.7306618001</v>
      </c>
      <c r="G166" s="7" t="str">
        <f>HYPERLINK("https://minkarta.lantmateriet.se/?e=367237,73151005&amp;n=6548265,7306618&amp;z=12&amp;profile=flygbildmedgranser&amp;background=2&amp;boundaries=true","Visa")</f>
        <v>Visa</v>
      </c>
      <c r="H166" s="5" t="s">
        <v>8</v>
      </c>
      <c r="I166" s="8">
        <v>41.231960000000001</v>
      </c>
      <c r="J166" s="9">
        <v>57.756799999999998</v>
      </c>
      <c r="K166" s="9">
        <v>59.210769999999997</v>
      </c>
      <c r="L166" s="14">
        <v>42.198250000000002</v>
      </c>
      <c r="M166" s="9">
        <v>58.256300000000003</v>
      </c>
      <c r="N166" s="9">
        <v>61.726959999999998</v>
      </c>
      <c r="O166" s="14">
        <v>42.902259999999998</v>
      </c>
      <c r="P166" s="9">
        <v>59.241120000000002</v>
      </c>
      <c r="Q166" s="9">
        <v>62.095689999999998</v>
      </c>
      <c r="R166" s="23">
        <v>31.560140000000001</v>
      </c>
      <c r="S166" s="8">
        <v>0.70401000000000002</v>
      </c>
      <c r="T166" s="9">
        <v>0.98482000000000003</v>
      </c>
      <c r="U166" s="24">
        <v>0.36873</v>
      </c>
    </row>
    <row r="167" spans="1:21" ht="12" customHeight="1" x14ac:dyDescent="0.25">
      <c r="A167" s="5">
        <v>372</v>
      </c>
      <c r="B167" s="19" t="s">
        <v>111</v>
      </c>
      <c r="C167" s="19" t="s">
        <v>12</v>
      </c>
      <c r="D167" s="5" t="s">
        <v>112</v>
      </c>
      <c r="E167" s="6">
        <v>367235.98034138</v>
      </c>
      <c r="F167" s="6">
        <v>6548273.0010109004</v>
      </c>
      <c r="G167" s="7" t="str">
        <f>HYPERLINK("https://minkarta.lantmateriet.se/?e=367235,98034138&amp;n=6548273,0010109&amp;z=12&amp;profile=flygbildmedgranser&amp;background=2&amp;boundaries=true","Visa")</f>
        <v>Visa</v>
      </c>
      <c r="H167" s="5" t="s">
        <v>9</v>
      </c>
      <c r="I167" s="8">
        <v>40.085769999999997</v>
      </c>
      <c r="J167" s="9">
        <v>49.902549999999998</v>
      </c>
      <c r="K167" s="9">
        <v>51.35651</v>
      </c>
      <c r="L167" s="14">
        <v>41.059550000000002</v>
      </c>
      <c r="M167" s="9">
        <v>50.402050000000003</v>
      </c>
      <c r="N167" s="9">
        <v>53.872700000000002</v>
      </c>
      <c r="O167" s="14">
        <v>41.644240000000003</v>
      </c>
      <c r="P167" s="9">
        <v>51.386859999999999</v>
      </c>
      <c r="Q167" s="9">
        <v>54.241439999999997</v>
      </c>
      <c r="R167" s="23">
        <v>36.452350000000003</v>
      </c>
      <c r="S167" s="8">
        <v>0.58469000000000004</v>
      </c>
      <c r="T167" s="9">
        <v>0.98480999999999996</v>
      </c>
      <c r="U167" s="24">
        <v>0.36874000000000001</v>
      </c>
    </row>
    <row r="168" spans="1:21" ht="12" customHeight="1" x14ac:dyDescent="0.25">
      <c r="A168" s="5">
        <v>374</v>
      </c>
      <c r="B168" s="19" t="s">
        <v>111</v>
      </c>
      <c r="C168" s="19" t="s">
        <v>12</v>
      </c>
      <c r="D168" s="5" t="s">
        <v>112</v>
      </c>
      <c r="E168" s="6">
        <v>367230.95466062002</v>
      </c>
      <c r="F168" s="6">
        <v>6548262.5689931</v>
      </c>
      <c r="G168" s="7" t="str">
        <f>HYPERLINK("https://minkarta.lantmateriet.se/?e=367230,95466062&amp;n=6548262,5689931&amp;z=12&amp;profile=flygbildmedgranser&amp;background=2&amp;boundaries=true","Visa")</f>
        <v>Visa</v>
      </c>
      <c r="H168" s="5" t="s">
        <v>11</v>
      </c>
      <c r="I168" s="8">
        <v>39.313110000000002</v>
      </c>
      <c r="J168" s="9">
        <v>49.599220000000003</v>
      </c>
      <c r="K168" s="9">
        <v>51.053179999999998</v>
      </c>
      <c r="L168" s="14">
        <v>40.266210000000001</v>
      </c>
      <c r="M168" s="9">
        <v>50.09872</v>
      </c>
      <c r="N168" s="9">
        <v>53.569369999999999</v>
      </c>
      <c r="O168" s="14">
        <v>40.697769999999998</v>
      </c>
      <c r="P168" s="9">
        <v>51.083530000000003</v>
      </c>
      <c r="Q168" s="9">
        <v>53.938110000000002</v>
      </c>
      <c r="R168" s="23">
        <v>29.33089</v>
      </c>
      <c r="S168" s="8">
        <v>0.43156</v>
      </c>
      <c r="T168" s="9">
        <v>0.98480999999999996</v>
      </c>
      <c r="U168" s="24">
        <v>0.36874000000000001</v>
      </c>
    </row>
    <row r="169" spans="1:21" ht="12" customHeight="1" x14ac:dyDescent="0.25">
      <c r="A169" s="5">
        <v>375</v>
      </c>
      <c r="B169" s="19" t="s">
        <v>113</v>
      </c>
      <c r="C169" s="19" t="s">
        <v>12</v>
      </c>
      <c r="D169" s="5" t="s">
        <v>114</v>
      </c>
      <c r="E169" s="6">
        <v>367226.22498520999</v>
      </c>
      <c r="F169" s="6">
        <v>6548242.2236106005</v>
      </c>
      <c r="G169" s="7" t="str">
        <f>HYPERLINK("https://minkarta.lantmateriet.se/?e=367226,22498521&amp;n=6548242,2236106&amp;z=12&amp;profile=flygbildmedgranser&amp;background=2&amp;boundaries=true","Visa")</f>
        <v>Visa</v>
      </c>
      <c r="H169" s="5" t="s">
        <v>8</v>
      </c>
      <c r="I169" s="8">
        <v>38.374049999999997</v>
      </c>
      <c r="J169" s="9">
        <v>54.958289999999998</v>
      </c>
      <c r="K169" s="9">
        <v>56.412260000000003</v>
      </c>
      <c r="L169" s="14">
        <v>39.343820000000001</v>
      </c>
      <c r="M169" s="9">
        <v>55.457790000000003</v>
      </c>
      <c r="N169" s="9">
        <v>58.928449999999998</v>
      </c>
      <c r="O169" s="14">
        <v>39.914940000000001</v>
      </c>
      <c r="P169" s="9">
        <v>56.442610000000002</v>
      </c>
      <c r="Q169" s="9">
        <v>59.297179999999997</v>
      </c>
      <c r="R169" s="23">
        <v>24.564900000000002</v>
      </c>
      <c r="S169" s="8">
        <v>0.57111999999999996</v>
      </c>
      <c r="T169" s="9">
        <v>0.98482000000000003</v>
      </c>
      <c r="U169" s="24">
        <v>0.36873</v>
      </c>
    </row>
    <row r="170" spans="1:21" ht="12" customHeight="1" x14ac:dyDescent="0.25">
      <c r="A170" s="5">
        <v>376</v>
      </c>
      <c r="B170" s="19" t="s">
        <v>113</v>
      </c>
      <c r="C170" s="19" t="s">
        <v>12</v>
      </c>
      <c r="D170" s="5" t="s">
        <v>114</v>
      </c>
      <c r="E170" s="6">
        <v>367224.41189294</v>
      </c>
      <c r="F170" s="6">
        <v>6548249.7494858997</v>
      </c>
      <c r="G170" s="7" t="str">
        <f>HYPERLINK("https://minkarta.lantmateriet.se/?e=367224,41189294&amp;n=6548249,7494859&amp;z=12&amp;profile=flygbildmedgranser&amp;background=2&amp;boundaries=true","Visa")</f>
        <v>Visa</v>
      </c>
      <c r="H170" s="5" t="s">
        <v>9</v>
      </c>
      <c r="I170" s="8">
        <v>38.901200000000003</v>
      </c>
      <c r="J170" s="9">
        <v>51.216880000000003</v>
      </c>
      <c r="K170" s="9">
        <v>52.670850000000002</v>
      </c>
      <c r="L170" s="14">
        <v>39.860129999999998</v>
      </c>
      <c r="M170" s="9">
        <v>51.716380000000001</v>
      </c>
      <c r="N170" s="9">
        <v>55.187040000000003</v>
      </c>
      <c r="O170" s="14">
        <v>40.429290000000002</v>
      </c>
      <c r="P170" s="9">
        <v>52.7012</v>
      </c>
      <c r="Q170" s="9">
        <v>55.555770000000003</v>
      </c>
      <c r="R170" s="23">
        <v>36.780200000000001</v>
      </c>
      <c r="S170" s="8">
        <v>0.56916</v>
      </c>
      <c r="T170" s="9">
        <v>0.98482000000000003</v>
      </c>
      <c r="U170" s="24">
        <v>0.36873</v>
      </c>
    </row>
    <row r="171" spans="1:21" ht="12" customHeight="1" x14ac:dyDescent="0.25">
      <c r="A171" s="5">
        <v>377</v>
      </c>
      <c r="B171" s="19" t="s">
        <v>113</v>
      </c>
      <c r="C171" s="19" t="s">
        <v>12</v>
      </c>
      <c r="D171" s="5" t="s">
        <v>114</v>
      </c>
      <c r="E171" s="6">
        <v>367217.36001678999</v>
      </c>
      <c r="F171" s="6">
        <v>6548246.5573933003</v>
      </c>
      <c r="G171" s="7" t="str">
        <f>HYPERLINK("https://minkarta.lantmateriet.se/?e=367217,36001679&amp;n=6548246,5573933&amp;z=12&amp;profile=flygbildmedgranser&amp;background=2&amp;boundaries=true","Visa")</f>
        <v>Visa</v>
      </c>
      <c r="H171" s="5" t="s">
        <v>10</v>
      </c>
      <c r="I171" s="8">
        <v>39.718690000000002</v>
      </c>
      <c r="J171" s="9">
        <v>46.900269999999999</v>
      </c>
      <c r="K171" s="9">
        <v>48.354230000000001</v>
      </c>
      <c r="L171" s="14">
        <v>40.67089</v>
      </c>
      <c r="M171" s="9">
        <v>47.399769999999997</v>
      </c>
      <c r="N171" s="9">
        <v>50.870420000000003</v>
      </c>
      <c r="O171" s="14">
        <v>41.064349999999997</v>
      </c>
      <c r="P171" s="9">
        <v>48.38458</v>
      </c>
      <c r="Q171" s="9">
        <v>51.239159999999998</v>
      </c>
      <c r="R171" s="23">
        <v>34.926189999999998</v>
      </c>
      <c r="S171" s="8">
        <v>0.39345999999999998</v>
      </c>
      <c r="T171" s="9">
        <v>0.98480999999999996</v>
      </c>
      <c r="U171" s="24">
        <v>0.36874000000000001</v>
      </c>
    </row>
    <row r="172" spans="1:21" ht="12" customHeight="1" x14ac:dyDescent="0.25">
      <c r="A172" s="5">
        <v>378</v>
      </c>
      <c r="B172" s="19" t="s">
        <v>113</v>
      </c>
      <c r="C172" s="19" t="s">
        <v>12</v>
      </c>
      <c r="D172" s="5" t="s">
        <v>114</v>
      </c>
      <c r="E172" s="6">
        <v>367219.17310905998</v>
      </c>
      <c r="F172" s="6">
        <v>6548239.0315180998</v>
      </c>
      <c r="G172" s="7" t="str">
        <f>HYPERLINK("https://minkarta.lantmateriet.se/?e=367219,17310906&amp;n=6548239,0315181&amp;z=12&amp;profile=flygbildmedgranser&amp;background=2&amp;boundaries=true","Visa")</f>
        <v>Visa</v>
      </c>
      <c r="H172" s="5" t="s">
        <v>11</v>
      </c>
      <c r="I172" s="8">
        <v>37.65522</v>
      </c>
      <c r="J172" s="9">
        <v>46.290439999999997</v>
      </c>
      <c r="K172" s="9">
        <v>47.744410000000002</v>
      </c>
      <c r="L172" s="14">
        <v>38.59395</v>
      </c>
      <c r="M172" s="9">
        <v>46.789940000000001</v>
      </c>
      <c r="N172" s="9">
        <v>50.260599999999997</v>
      </c>
      <c r="O172" s="14">
        <v>38.894199999999998</v>
      </c>
      <c r="P172" s="9">
        <v>47.774760000000001</v>
      </c>
      <c r="Q172" s="9">
        <v>50.629330000000003</v>
      </c>
      <c r="R172" s="23">
        <v>31.003060000000001</v>
      </c>
      <c r="S172" s="8">
        <v>0.30025000000000002</v>
      </c>
      <c r="T172" s="9">
        <v>0.98482000000000003</v>
      </c>
      <c r="U172" s="24">
        <v>0.36873</v>
      </c>
    </row>
    <row r="173" spans="1:21" ht="12" customHeight="1" x14ac:dyDescent="0.25">
      <c r="A173" s="5">
        <v>379</v>
      </c>
      <c r="B173" s="19" t="s">
        <v>115</v>
      </c>
      <c r="C173" s="19" t="s">
        <v>12</v>
      </c>
      <c r="D173" s="5" t="s">
        <v>116</v>
      </c>
      <c r="E173" s="6">
        <v>367214.65053993999</v>
      </c>
      <c r="F173" s="6">
        <v>6548220.3842243999</v>
      </c>
      <c r="G173" s="7" t="str">
        <f>HYPERLINK("https://minkarta.lantmateriet.se/?e=367214,65053994&amp;n=6548220,3842244&amp;z=12&amp;profile=flygbildmedgranser&amp;background=2&amp;boundaries=true","Visa")</f>
        <v>Visa</v>
      </c>
      <c r="H173" s="5" t="s">
        <v>8</v>
      </c>
      <c r="I173" s="8">
        <v>38.678930000000001</v>
      </c>
      <c r="J173" s="9">
        <v>53.127200000000002</v>
      </c>
      <c r="K173" s="9">
        <v>54.58117</v>
      </c>
      <c r="L173" s="14">
        <v>39.625190000000003</v>
      </c>
      <c r="M173" s="9">
        <v>53.6267</v>
      </c>
      <c r="N173" s="9">
        <v>57.097349999999999</v>
      </c>
      <c r="O173" s="14">
        <v>40.144300000000001</v>
      </c>
      <c r="P173" s="9">
        <v>54.611519999999999</v>
      </c>
      <c r="Q173" s="9">
        <v>57.466090000000001</v>
      </c>
      <c r="R173" s="23">
        <v>21.24868</v>
      </c>
      <c r="S173" s="8">
        <v>0.51910999999999996</v>
      </c>
      <c r="T173" s="9">
        <v>0.98482000000000003</v>
      </c>
      <c r="U173" s="24">
        <v>0.36874000000000001</v>
      </c>
    </row>
    <row r="174" spans="1:21" ht="12" customHeight="1" x14ac:dyDescent="0.25">
      <c r="A174" s="5">
        <v>380</v>
      </c>
      <c r="B174" s="19" t="s">
        <v>115</v>
      </c>
      <c r="C174" s="19" t="s">
        <v>12</v>
      </c>
      <c r="D174" s="5" t="s">
        <v>116</v>
      </c>
      <c r="E174" s="6">
        <v>367212.75127776997</v>
      </c>
      <c r="F174" s="6">
        <v>6548227.7995413002</v>
      </c>
      <c r="G174" s="7" t="str">
        <f>HYPERLINK("https://minkarta.lantmateriet.se/?e=367212,75127777&amp;n=6548227,7995413&amp;z=12&amp;profile=flygbildmedgranser&amp;background=2&amp;boundaries=true","Visa")</f>
        <v>Visa</v>
      </c>
      <c r="H174" s="5" t="s">
        <v>9</v>
      </c>
      <c r="I174" s="8">
        <v>38.041020000000003</v>
      </c>
      <c r="J174" s="9">
        <v>42.896929999999998</v>
      </c>
      <c r="K174" s="9">
        <v>44.35089</v>
      </c>
      <c r="L174" s="14">
        <v>38.97757</v>
      </c>
      <c r="M174" s="9">
        <v>43.396419999999999</v>
      </c>
      <c r="N174" s="9">
        <v>46.867080000000001</v>
      </c>
      <c r="O174" s="14">
        <v>39.265590000000003</v>
      </c>
      <c r="P174" s="9">
        <v>44.381239999999998</v>
      </c>
      <c r="Q174" s="9">
        <v>47.235819999999997</v>
      </c>
      <c r="R174" s="23">
        <v>31.041689999999999</v>
      </c>
      <c r="S174" s="8">
        <v>0.28802</v>
      </c>
      <c r="T174" s="9">
        <v>0.98482000000000003</v>
      </c>
      <c r="U174" s="24">
        <v>0.36874000000000001</v>
      </c>
    </row>
    <row r="175" spans="1:21" ht="12" customHeight="1" x14ac:dyDescent="0.25">
      <c r="A175" s="5">
        <v>382</v>
      </c>
      <c r="B175" s="19" t="s">
        <v>115</v>
      </c>
      <c r="C175" s="19" t="s">
        <v>12</v>
      </c>
      <c r="D175" s="5" t="s">
        <v>116</v>
      </c>
      <c r="E175" s="6">
        <v>367207.71172339999</v>
      </c>
      <c r="F175" s="6">
        <v>6548217.1509630997</v>
      </c>
      <c r="G175" s="7" t="str">
        <f>HYPERLINK("https://minkarta.lantmateriet.se/?e=367207,7117234&amp;n=6548217,1509631&amp;z=12&amp;profile=flygbildmedgranser&amp;background=2&amp;boundaries=true","Visa")</f>
        <v>Visa</v>
      </c>
      <c r="H175" s="5" t="s">
        <v>11</v>
      </c>
      <c r="I175" s="8">
        <v>37.909179999999999</v>
      </c>
      <c r="J175" s="9">
        <v>41.714019999999998</v>
      </c>
      <c r="K175" s="9">
        <v>43.16798</v>
      </c>
      <c r="L175" s="14">
        <v>38.841090000000001</v>
      </c>
      <c r="M175" s="9">
        <v>42.213520000000003</v>
      </c>
      <c r="N175" s="9">
        <v>45.684170000000002</v>
      </c>
      <c r="O175" s="14">
        <v>38.967880000000001</v>
      </c>
      <c r="P175" s="9">
        <v>42.703189999999999</v>
      </c>
      <c r="Q175" s="9">
        <v>45.557769999999998</v>
      </c>
      <c r="R175" s="23">
        <v>31.462820000000001</v>
      </c>
      <c r="S175" s="8">
        <v>0.12679000000000001</v>
      </c>
      <c r="T175" s="9">
        <v>0.48966999999999999</v>
      </c>
      <c r="U175" s="24">
        <v>-0.12640000000000001</v>
      </c>
    </row>
    <row r="176" spans="1:21" ht="12" customHeight="1" x14ac:dyDescent="0.25">
      <c r="A176" s="5">
        <v>383</v>
      </c>
      <c r="B176" s="19" t="s">
        <v>117</v>
      </c>
      <c r="C176" s="19" t="s">
        <v>12</v>
      </c>
      <c r="D176" s="5" t="s">
        <v>118</v>
      </c>
      <c r="E176" s="6">
        <v>367189.11387766001</v>
      </c>
      <c r="F176" s="6">
        <v>6548227.3770265998</v>
      </c>
      <c r="G176" s="7" t="str">
        <f>HYPERLINK("https://minkarta.lantmateriet.se/?e=367189,11387766&amp;n=6548227,3770266&amp;z=12&amp;profile=flygbildmedgranser&amp;background=2&amp;boundaries=true","Visa")</f>
        <v>Visa</v>
      </c>
      <c r="H176" s="5" t="s">
        <v>13</v>
      </c>
      <c r="I176" s="8">
        <v>36.400469999999999</v>
      </c>
      <c r="J176" s="9">
        <v>43.700850000000003</v>
      </c>
      <c r="K176" s="9">
        <v>45.154809999999998</v>
      </c>
      <c r="L176" s="14">
        <v>37.334409999999998</v>
      </c>
      <c r="M176" s="9">
        <v>44.200339999999997</v>
      </c>
      <c r="N176" s="9">
        <v>47.670999999999999</v>
      </c>
      <c r="O176" s="14">
        <v>37.670009999999998</v>
      </c>
      <c r="P176" s="9">
        <v>45.185160000000003</v>
      </c>
      <c r="Q176" s="9">
        <v>48.039740000000002</v>
      </c>
      <c r="R176" s="23">
        <v>34.217669999999998</v>
      </c>
      <c r="S176" s="8">
        <v>0.33560000000000001</v>
      </c>
      <c r="T176" s="9">
        <v>0.98482000000000003</v>
      </c>
      <c r="U176" s="24">
        <v>0.36874000000000001</v>
      </c>
    </row>
    <row r="177" spans="1:21" ht="12" customHeight="1" x14ac:dyDescent="0.25">
      <c r="A177" s="5">
        <v>384</v>
      </c>
      <c r="B177" s="19" t="s">
        <v>117</v>
      </c>
      <c r="C177" s="19" t="s">
        <v>12</v>
      </c>
      <c r="D177" s="5" t="s">
        <v>118</v>
      </c>
      <c r="E177" s="6">
        <v>367185.27147813002</v>
      </c>
      <c r="F177" s="6">
        <v>6548230.9163779998</v>
      </c>
      <c r="G177" s="7" t="str">
        <f>HYPERLINK("https://minkarta.lantmateriet.se/?e=367185,27147813&amp;n=6548230,916378&amp;z=12&amp;profile=flygbildmedgranser&amp;background=2&amp;boundaries=true","Visa")</f>
        <v>Visa</v>
      </c>
      <c r="H177" s="5" t="s">
        <v>14</v>
      </c>
      <c r="I177" s="8">
        <v>37.71752</v>
      </c>
      <c r="J177" s="9">
        <v>49.940759999999997</v>
      </c>
      <c r="K177" s="9">
        <v>51.39472</v>
      </c>
      <c r="L177" s="14">
        <v>38.654899999999998</v>
      </c>
      <c r="M177" s="9">
        <v>50.440249999999999</v>
      </c>
      <c r="N177" s="9">
        <v>53.910910000000001</v>
      </c>
      <c r="O177" s="14">
        <v>38.996490000000001</v>
      </c>
      <c r="P177" s="9">
        <v>51.425069999999998</v>
      </c>
      <c r="Q177" s="9">
        <v>54.279649999999997</v>
      </c>
      <c r="R177" s="23">
        <v>33.7119</v>
      </c>
      <c r="S177" s="8">
        <v>0.34159</v>
      </c>
      <c r="T177" s="9">
        <v>0.98482000000000003</v>
      </c>
      <c r="U177" s="24">
        <v>0.36874000000000001</v>
      </c>
    </row>
    <row r="178" spans="1:21" ht="12" customHeight="1" x14ac:dyDescent="0.25">
      <c r="A178" s="5">
        <v>385</v>
      </c>
      <c r="B178" s="19" t="s">
        <v>117</v>
      </c>
      <c r="C178" s="19" t="s">
        <v>12</v>
      </c>
      <c r="D178" s="5" t="s">
        <v>118</v>
      </c>
      <c r="E178" s="6">
        <v>367178.67412489001</v>
      </c>
      <c r="F178" s="6">
        <v>6548227.0254789004</v>
      </c>
      <c r="G178" s="7" t="str">
        <f>HYPERLINK("https://minkarta.lantmateriet.se/?e=367178,67412489&amp;n=6548227,0254789&amp;z=12&amp;profile=flygbildmedgranser&amp;background=2&amp;boundaries=true","Visa")</f>
        <v>Visa</v>
      </c>
      <c r="H178" s="5" t="s">
        <v>16</v>
      </c>
      <c r="I178" s="8">
        <v>38.995780000000003</v>
      </c>
      <c r="J178" s="9">
        <v>53.415619999999997</v>
      </c>
      <c r="K178" s="9">
        <v>54.869579999999999</v>
      </c>
      <c r="L178" s="14">
        <v>39.932949999999998</v>
      </c>
      <c r="M178" s="9">
        <v>53.915109999999999</v>
      </c>
      <c r="N178" s="9">
        <v>57.385770000000001</v>
      </c>
      <c r="O178" s="14">
        <v>40.433630000000001</v>
      </c>
      <c r="P178" s="9">
        <v>54.899929999999998</v>
      </c>
      <c r="Q178" s="9">
        <v>57.754510000000003</v>
      </c>
      <c r="R178" s="23">
        <v>34.875169999999997</v>
      </c>
      <c r="S178" s="8">
        <v>0.50068000000000001</v>
      </c>
      <c r="T178" s="9">
        <v>0.98482000000000003</v>
      </c>
      <c r="U178" s="24">
        <v>0.36874000000000001</v>
      </c>
    </row>
    <row r="179" spans="1:21" ht="12" customHeight="1" x14ac:dyDescent="0.25">
      <c r="A179" s="5">
        <v>386</v>
      </c>
      <c r="B179" s="19" t="s">
        <v>117</v>
      </c>
      <c r="C179" s="19" t="s">
        <v>12</v>
      </c>
      <c r="D179" s="5" t="s">
        <v>118</v>
      </c>
      <c r="E179" s="6">
        <v>367181.31552347</v>
      </c>
      <c r="F179" s="6">
        <v>6548219.7081260998</v>
      </c>
      <c r="G179" s="7" t="str">
        <f>HYPERLINK("https://minkarta.lantmateriet.se/?e=367181,31552347&amp;n=6548219,7081261&amp;z=12&amp;profile=flygbildmedgranser&amp;background=2&amp;boundaries=true","Visa")</f>
        <v>Visa</v>
      </c>
      <c r="H179" s="5" t="s">
        <v>15</v>
      </c>
      <c r="I179" s="8">
        <v>36.894370000000002</v>
      </c>
      <c r="J179" s="9">
        <v>41.135559999999998</v>
      </c>
      <c r="K179" s="9">
        <v>42.66413</v>
      </c>
      <c r="L179" s="14">
        <v>37.83229</v>
      </c>
      <c r="M179" s="9">
        <v>41.564660000000003</v>
      </c>
      <c r="N179" s="9">
        <v>43.182630000000003</v>
      </c>
      <c r="O179" s="14">
        <v>37.972859999999997</v>
      </c>
      <c r="P179" s="9">
        <v>41.593110000000003</v>
      </c>
      <c r="Q179" s="9">
        <v>43.211950000000002</v>
      </c>
      <c r="R179" s="23">
        <v>32.104179999999999</v>
      </c>
      <c r="S179" s="8">
        <v>0.14057</v>
      </c>
      <c r="T179" s="9">
        <v>2.845E-2</v>
      </c>
      <c r="U179" s="24">
        <v>2.9319999999999999E-2</v>
      </c>
    </row>
    <row r="180" spans="1:21" ht="12" customHeight="1" x14ac:dyDescent="0.25">
      <c r="A180" s="5">
        <v>388</v>
      </c>
      <c r="B180" s="19" t="s">
        <v>119</v>
      </c>
      <c r="C180" s="19" t="s">
        <v>12</v>
      </c>
      <c r="D180" s="5" t="s">
        <v>120</v>
      </c>
      <c r="E180" s="6">
        <v>367196.47337957</v>
      </c>
      <c r="F180" s="6">
        <v>6548246.2980318004</v>
      </c>
      <c r="G180" s="7" t="str">
        <f>HYPERLINK("https://minkarta.lantmateriet.se/?e=367196,47337957&amp;n=6548246,2980318&amp;z=12&amp;profile=flygbildmedgranser&amp;background=2&amp;boundaries=true","Visa")</f>
        <v>Visa</v>
      </c>
      <c r="H180" s="5" t="s">
        <v>13</v>
      </c>
      <c r="I180" s="8">
        <v>37.401449999999997</v>
      </c>
      <c r="J180" s="9">
        <v>46.923520000000003</v>
      </c>
      <c r="K180" s="9">
        <v>48.377479999999998</v>
      </c>
      <c r="L180" s="14">
        <v>38.349620000000002</v>
      </c>
      <c r="M180" s="9">
        <v>47.423009999999998</v>
      </c>
      <c r="N180" s="9">
        <v>50.89367</v>
      </c>
      <c r="O180" s="14">
        <v>38.742730000000002</v>
      </c>
      <c r="P180" s="9">
        <v>48.407829999999997</v>
      </c>
      <c r="Q180" s="9">
        <v>51.262410000000003</v>
      </c>
      <c r="R180" s="23">
        <v>25.543959999999998</v>
      </c>
      <c r="S180" s="8">
        <v>0.39311000000000001</v>
      </c>
      <c r="T180" s="9">
        <v>0.98482000000000003</v>
      </c>
      <c r="U180" s="24">
        <v>0.36874000000000001</v>
      </c>
    </row>
    <row r="181" spans="1:21" ht="12" customHeight="1" x14ac:dyDescent="0.25">
      <c r="A181" s="5">
        <v>389</v>
      </c>
      <c r="B181" s="19" t="s">
        <v>119</v>
      </c>
      <c r="C181" s="19" t="s">
        <v>12</v>
      </c>
      <c r="D181" s="5" t="s">
        <v>120</v>
      </c>
      <c r="E181" s="6">
        <v>367198.14587862999</v>
      </c>
      <c r="F181" s="6">
        <v>6548251.9645292005</v>
      </c>
      <c r="G181" s="7" t="str">
        <f>HYPERLINK("https://minkarta.lantmateriet.se/?e=367198,14587863&amp;n=6548251,9645292&amp;z=12&amp;profile=flygbildmedgranser&amp;background=2&amp;boundaries=true","Visa")</f>
        <v>Visa</v>
      </c>
      <c r="H181" s="5" t="s">
        <v>13</v>
      </c>
      <c r="I181" s="8">
        <v>37.138420000000004</v>
      </c>
      <c r="J181" s="9">
        <v>39.040140000000001</v>
      </c>
      <c r="K181" s="9">
        <v>40.494109999999999</v>
      </c>
      <c r="L181" s="14">
        <v>38.073950000000004</v>
      </c>
      <c r="M181" s="9">
        <v>39.539639999999999</v>
      </c>
      <c r="N181" s="9">
        <v>43.010300000000001</v>
      </c>
      <c r="O181" s="14">
        <v>38.325920000000004</v>
      </c>
      <c r="P181" s="9">
        <v>40.524459999999998</v>
      </c>
      <c r="Q181" s="9">
        <v>43.37903</v>
      </c>
      <c r="R181" s="23">
        <v>34.428559999999997</v>
      </c>
      <c r="S181" s="8">
        <v>0.25197000000000003</v>
      </c>
      <c r="T181" s="9">
        <v>0.98482000000000003</v>
      </c>
      <c r="U181" s="24">
        <v>0.36873</v>
      </c>
    </row>
    <row r="182" spans="1:21" ht="12" customHeight="1" x14ac:dyDescent="0.25">
      <c r="A182" s="5">
        <v>390</v>
      </c>
      <c r="B182" s="19" t="s">
        <v>119</v>
      </c>
      <c r="C182" s="19" t="s">
        <v>12</v>
      </c>
      <c r="D182" s="5" t="s">
        <v>120</v>
      </c>
      <c r="E182" s="6">
        <v>367194.36847296002</v>
      </c>
      <c r="F182" s="6">
        <v>6548255.6228799</v>
      </c>
      <c r="G182" s="7" t="str">
        <f>HYPERLINK("https://minkarta.lantmateriet.se/?e=367194,36847296&amp;n=6548255,6228799&amp;z=12&amp;profile=flygbildmedgranser&amp;background=2&amp;boundaries=true","Visa")</f>
        <v>Visa</v>
      </c>
      <c r="H182" s="5" t="s">
        <v>14</v>
      </c>
      <c r="I182" s="8">
        <v>39.0822</v>
      </c>
      <c r="J182" s="9">
        <v>51.646180000000001</v>
      </c>
      <c r="K182" s="9">
        <v>53.100140000000003</v>
      </c>
      <c r="L182" s="14">
        <v>40.030700000000003</v>
      </c>
      <c r="M182" s="9">
        <v>52.145679999999999</v>
      </c>
      <c r="N182" s="9">
        <v>55.616329999999998</v>
      </c>
      <c r="O182" s="14">
        <v>40.532139999999998</v>
      </c>
      <c r="P182" s="9">
        <v>53.130490000000002</v>
      </c>
      <c r="Q182" s="9">
        <v>55.98507</v>
      </c>
      <c r="R182" s="23">
        <v>33.583129999999997</v>
      </c>
      <c r="S182" s="8">
        <v>0.50144</v>
      </c>
      <c r="T182" s="9">
        <v>0.98480999999999996</v>
      </c>
      <c r="U182" s="24">
        <v>0.36874000000000001</v>
      </c>
    </row>
    <row r="183" spans="1:21" ht="12" customHeight="1" x14ac:dyDescent="0.25">
      <c r="A183" s="5">
        <v>391</v>
      </c>
      <c r="B183" s="19" t="s">
        <v>119</v>
      </c>
      <c r="C183" s="19" t="s">
        <v>12</v>
      </c>
      <c r="D183" s="5" t="s">
        <v>120</v>
      </c>
      <c r="E183" s="6">
        <v>367187.80612266</v>
      </c>
      <c r="F183" s="6">
        <v>6548251.7574728001</v>
      </c>
      <c r="G183" s="7" t="str">
        <f>HYPERLINK("https://minkarta.lantmateriet.se/?e=367187,80612266&amp;n=6548251,7574728&amp;z=12&amp;profile=flygbildmedgranser&amp;background=2&amp;boundaries=true","Visa")</f>
        <v>Visa</v>
      </c>
      <c r="H183" s="5" t="s">
        <v>16</v>
      </c>
      <c r="I183" s="8">
        <v>40.55254</v>
      </c>
      <c r="J183" s="9">
        <v>55.567880000000002</v>
      </c>
      <c r="K183" s="9">
        <v>57.021850000000001</v>
      </c>
      <c r="L183" s="14">
        <v>41.50515</v>
      </c>
      <c r="M183" s="9">
        <v>56.06738</v>
      </c>
      <c r="N183" s="9">
        <v>59.538040000000002</v>
      </c>
      <c r="O183" s="14">
        <v>42.056480000000001</v>
      </c>
      <c r="P183" s="9">
        <v>57.052199999999999</v>
      </c>
      <c r="Q183" s="9">
        <v>59.906770000000002</v>
      </c>
      <c r="R183" s="23">
        <v>37.581069999999997</v>
      </c>
      <c r="S183" s="8">
        <v>0.55132999999999999</v>
      </c>
      <c r="T183" s="9">
        <v>0.98482000000000003</v>
      </c>
      <c r="U183" s="24">
        <v>0.36873</v>
      </c>
    </row>
    <row r="184" spans="1:21" ht="12" customHeight="1" x14ac:dyDescent="0.25">
      <c r="A184" s="5">
        <v>392</v>
      </c>
      <c r="B184" s="19" t="s">
        <v>119</v>
      </c>
      <c r="C184" s="19" t="s">
        <v>12</v>
      </c>
      <c r="D184" s="5" t="s">
        <v>120</v>
      </c>
      <c r="E184" s="6">
        <v>367190.45702824998</v>
      </c>
      <c r="F184" s="6">
        <v>6548244.4806244001</v>
      </c>
      <c r="G184" s="7" t="str">
        <f>HYPERLINK("https://minkarta.lantmateriet.se/?e=367190,45702825&amp;n=6548244,4806244&amp;z=12&amp;profile=flygbildmedgranser&amp;background=2&amp;boundaries=true","Visa")</f>
        <v>Visa</v>
      </c>
      <c r="H184" s="5" t="s">
        <v>15</v>
      </c>
      <c r="I184" s="8">
        <v>37.314120000000003</v>
      </c>
      <c r="J184" s="9">
        <v>48.3825</v>
      </c>
      <c r="K184" s="9">
        <v>49.836460000000002</v>
      </c>
      <c r="L184" s="14">
        <v>38.2395</v>
      </c>
      <c r="M184" s="9">
        <v>48.881990000000002</v>
      </c>
      <c r="N184" s="9">
        <v>52.352649999999997</v>
      </c>
      <c r="O184" s="14">
        <v>38.490279999999998</v>
      </c>
      <c r="P184" s="9">
        <v>49.866810000000001</v>
      </c>
      <c r="Q184" s="9">
        <v>52.72139</v>
      </c>
      <c r="R184" s="23">
        <v>28.900780000000001</v>
      </c>
      <c r="S184" s="8">
        <v>0.25078</v>
      </c>
      <c r="T184" s="9">
        <v>0.98482000000000003</v>
      </c>
      <c r="U184" s="24">
        <v>0.36874000000000001</v>
      </c>
    </row>
    <row r="185" spans="1:21" ht="12" customHeight="1" x14ac:dyDescent="0.25">
      <c r="A185" s="5">
        <v>393</v>
      </c>
      <c r="B185" s="19" t="s">
        <v>121</v>
      </c>
      <c r="C185" s="19" t="s">
        <v>12</v>
      </c>
      <c r="D185" s="5" t="s">
        <v>122</v>
      </c>
      <c r="E185" s="6">
        <v>367205.99938286003</v>
      </c>
      <c r="F185" s="6">
        <v>6548273.6345407004</v>
      </c>
      <c r="G185" s="7" t="str">
        <f>HYPERLINK("https://minkarta.lantmateriet.se/?e=367205,99938286&amp;n=6548273,6345407&amp;z=12&amp;profile=flygbildmedgranser&amp;background=2&amp;boundaries=true","Visa")</f>
        <v>Visa</v>
      </c>
      <c r="H185" s="5" t="s">
        <v>13</v>
      </c>
      <c r="I185" s="8">
        <v>38.660780000000003</v>
      </c>
      <c r="J185" s="9">
        <v>50.94464</v>
      </c>
      <c r="K185" s="9">
        <v>52.398609999999998</v>
      </c>
      <c r="L185" s="14">
        <v>39.611879999999999</v>
      </c>
      <c r="M185" s="9">
        <v>51.444139999999997</v>
      </c>
      <c r="N185" s="9">
        <v>54.914790000000004</v>
      </c>
      <c r="O185" s="14">
        <v>40.16621</v>
      </c>
      <c r="P185" s="9">
        <v>52.428959999999996</v>
      </c>
      <c r="Q185" s="9">
        <v>55.283529999999999</v>
      </c>
      <c r="R185" s="23">
        <v>25.432200000000002</v>
      </c>
      <c r="S185" s="8">
        <v>0.55432999999999999</v>
      </c>
      <c r="T185" s="9">
        <v>0.98482000000000003</v>
      </c>
      <c r="U185" s="24">
        <v>0.36874000000000001</v>
      </c>
    </row>
    <row r="186" spans="1:21" ht="12" customHeight="1" x14ac:dyDescent="0.25">
      <c r="A186" s="5">
        <v>394</v>
      </c>
      <c r="B186" s="19" t="s">
        <v>121</v>
      </c>
      <c r="C186" s="19" t="s">
        <v>12</v>
      </c>
      <c r="D186" s="5" t="s">
        <v>122</v>
      </c>
      <c r="E186" s="6">
        <v>367203.51896174997</v>
      </c>
      <c r="F186" s="6">
        <v>6548280.7188841002</v>
      </c>
      <c r="G186" s="7" t="str">
        <f>HYPERLINK("https://minkarta.lantmateriet.se/?e=367203,51896175&amp;n=6548280,7188841&amp;z=12&amp;profile=flygbildmedgranser&amp;background=2&amp;boundaries=true","Visa")</f>
        <v>Visa</v>
      </c>
      <c r="H186" s="5" t="s">
        <v>14</v>
      </c>
      <c r="I186" s="8">
        <v>40.303719999999998</v>
      </c>
      <c r="J186" s="9">
        <v>54.620060000000002</v>
      </c>
      <c r="K186" s="9">
        <v>56.074019999999997</v>
      </c>
      <c r="L186" s="14">
        <v>41.249490000000002</v>
      </c>
      <c r="M186" s="9">
        <v>55.119549999999997</v>
      </c>
      <c r="N186" s="9">
        <v>58.590209999999999</v>
      </c>
      <c r="O186" s="14">
        <v>41.863750000000003</v>
      </c>
      <c r="P186" s="9">
        <v>56.104370000000003</v>
      </c>
      <c r="Q186" s="9">
        <v>58.958950000000002</v>
      </c>
      <c r="R186" s="23">
        <v>30.415959999999998</v>
      </c>
      <c r="S186" s="8">
        <v>0.61426000000000003</v>
      </c>
      <c r="T186" s="9">
        <v>0.98482000000000003</v>
      </c>
      <c r="U186" s="24">
        <v>0.36874000000000001</v>
      </c>
    </row>
    <row r="187" spans="1:21" ht="12" customHeight="1" x14ac:dyDescent="0.25">
      <c r="A187" s="5">
        <v>395</v>
      </c>
      <c r="B187" s="19" t="s">
        <v>121</v>
      </c>
      <c r="C187" s="19" t="s">
        <v>12</v>
      </c>
      <c r="D187" s="5" t="s">
        <v>122</v>
      </c>
      <c r="E187" s="6">
        <v>367197.03161914001</v>
      </c>
      <c r="F187" s="6">
        <v>6548276.9424633002</v>
      </c>
      <c r="G187" s="7" t="str">
        <f>HYPERLINK("https://minkarta.lantmateriet.se/?e=367197,03161914&amp;n=6548276,9424633&amp;z=12&amp;profile=flygbildmedgranser&amp;background=2&amp;boundaries=true","Visa")</f>
        <v>Visa</v>
      </c>
      <c r="H187" s="5" t="s">
        <v>16</v>
      </c>
      <c r="I187" s="8">
        <v>42.243479999999998</v>
      </c>
      <c r="J187" s="9">
        <v>58.475180000000002</v>
      </c>
      <c r="K187" s="9">
        <v>59.929139999999997</v>
      </c>
      <c r="L187" s="14">
        <v>43.233159999999998</v>
      </c>
      <c r="M187" s="9">
        <v>58.974670000000003</v>
      </c>
      <c r="N187" s="9">
        <v>62.445340000000002</v>
      </c>
      <c r="O187" s="14">
        <v>43.846170000000001</v>
      </c>
      <c r="P187" s="9">
        <v>59.959499999999998</v>
      </c>
      <c r="Q187" s="9">
        <v>62.814070000000001</v>
      </c>
      <c r="R187" s="23">
        <v>33.855080000000001</v>
      </c>
      <c r="S187" s="8">
        <v>0.61301000000000005</v>
      </c>
      <c r="T187" s="9">
        <v>0.98482999999999998</v>
      </c>
      <c r="U187" s="24">
        <v>0.36873</v>
      </c>
    </row>
    <row r="188" spans="1:21" ht="12" customHeight="1" x14ac:dyDescent="0.25">
      <c r="A188" s="5">
        <v>396</v>
      </c>
      <c r="B188" s="19" t="s">
        <v>121</v>
      </c>
      <c r="C188" s="19" t="s">
        <v>12</v>
      </c>
      <c r="D188" s="5" t="s">
        <v>122</v>
      </c>
      <c r="E188" s="6">
        <v>367199.51204025</v>
      </c>
      <c r="F188" s="6">
        <v>6548269.8581199003</v>
      </c>
      <c r="G188" s="7" t="str">
        <f>HYPERLINK("https://minkarta.lantmateriet.se/?e=367199,51204025&amp;n=6548269,8581199&amp;z=12&amp;profile=flygbildmedgranser&amp;background=2&amp;boundaries=true","Visa")</f>
        <v>Visa</v>
      </c>
      <c r="H188" s="5" t="s">
        <v>15</v>
      </c>
      <c r="I188" s="8">
        <v>39.185960000000001</v>
      </c>
      <c r="J188" s="9">
        <v>49.848460000000003</v>
      </c>
      <c r="K188" s="9">
        <v>51.302430000000001</v>
      </c>
      <c r="L188" s="14">
        <v>40.118850000000002</v>
      </c>
      <c r="M188" s="9">
        <v>50.34796</v>
      </c>
      <c r="N188" s="9">
        <v>53.81861</v>
      </c>
      <c r="O188" s="14">
        <v>40.44191</v>
      </c>
      <c r="P188" s="9">
        <v>51.33278</v>
      </c>
      <c r="Q188" s="9">
        <v>54.187350000000002</v>
      </c>
      <c r="R188" s="23">
        <v>33.802079999999997</v>
      </c>
      <c r="S188" s="8">
        <v>0.32306000000000001</v>
      </c>
      <c r="T188" s="9">
        <v>0.98482000000000003</v>
      </c>
      <c r="U188" s="24">
        <v>0.36874000000000001</v>
      </c>
    </row>
    <row r="189" spans="1:21" ht="12" customHeight="1" x14ac:dyDescent="0.25">
      <c r="A189" s="5">
        <v>397</v>
      </c>
      <c r="B189" s="19" t="s">
        <v>123</v>
      </c>
      <c r="C189" s="19" t="s">
        <v>12</v>
      </c>
      <c r="D189" s="5" t="s">
        <v>124</v>
      </c>
      <c r="E189" s="6">
        <v>367208.88952506997</v>
      </c>
      <c r="F189" s="6">
        <v>6548294.1041254997</v>
      </c>
      <c r="G189" s="7" t="str">
        <f>HYPERLINK("https://minkarta.lantmateriet.se/?e=367208,88952507&amp;n=6548294,1041255&amp;z=12&amp;profile=flygbildmedgranser&amp;background=2&amp;boundaries=true","Visa")</f>
        <v>Visa</v>
      </c>
      <c r="H189" s="5" t="s">
        <v>15</v>
      </c>
      <c r="I189" s="8">
        <v>41.361840000000001</v>
      </c>
      <c r="J189" s="9">
        <v>56.312049999999999</v>
      </c>
      <c r="K189" s="9">
        <v>57.766010000000001</v>
      </c>
      <c r="L189" s="14">
        <v>42.307850000000002</v>
      </c>
      <c r="M189" s="9">
        <v>56.811540000000001</v>
      </c>
      <c r="N189" s="9">
        <v>60.282200000000003</v>
      </c>
      <c r="O189" s="14">
        <v>42.894500000000001</v>
      </c>
      <c r="P189" s="9">
        <v>57.79636</v>
      </c>
      <c r="Q189" s="9">
        <v>60.650939999999999</v>
      </c>
      <c r="R189" s="23">
        <v>33.653010000000002</v>
      </c>
      <c r="S189" s="8">
        <v>0.58665</v>
      </c>
      <c r="T189" s="9">
        <v>0.98482000000000003</v>
      </c>
      <c r="U189" s="24">
        <v>0.36874000000000001</v>
      </c>
    </row>
    <row r="190" spans="1:21" ht="12" customHeight="1" x14ac:dyDescent="0.25">
      <c r="A190" s="5">
        <v>398</v>
      </c>
      <c r="B190" s="19" t="s">
        <v>123</v>
      </c>
      <c r="C190" s="19" t="s">
        <v>12</v>
      </c>
      <c r="D190" s="5" t="s">
        <v>124</v>
      </c>
      <c r="E190" s="6">
        <v>367214.86937724001</v>
      </c>
      <c r="F190" s="6">
        <v>6548295.9075255003</v>
      </c>
      <c r="G190" s="7" t="str">
        <f>HYPERLINK("https://minkarta.lantmateriet.se/?e=367214,86937724&amp;n=6548295,9075255&amp;z=12&amp;profile=flygbildmedgranser&amp;background=2&amp;boundaries=true","Visa")</f>
        <v>Visa</v>
      </c>
      <c r="H190" s="5" t="s">
        <v>13</v>
      </c>
      <c r="I190" s="8">
        <v>42.984729999999999</v>
      </c>
      <c r="J190" s="9">
        <v>57.779200000000003</v>
      </c>
      <c r="K190" s="9">
        <v>59.233170000000001</v>
      </c>
      <c r="L190" s="14">
        <v>43.952719999999999</v>
      </c>
      <c r="M190" s="9">
        <v>58.278700000000001</v>
      </c>
      <c r="N190" s="9">
        <v>61.749360000000003</v>
      </c>
      <c r="O190" s="14">
        <v>44.796909999999997</v>
      </c>
      <c r="P190" s="9">
        <v>59.26352</v>
      </c>
      <c r="Q190" s="9">
        <v>62.118090000000002</v>
      </c>
      <c r="R190" s="23">
        <v>21.732769999999999</v>
      </c>
      <c r="S190" s="8">
        <v>0.84419</v>
      </c>
      <c r="T190" s="9">
        <v>0.98482000000000003</v>
      </c>
      <c r="U190" s="24">
        <v>0.36873</v>
      </c>
    </row>
    <row r="191" spans="1:21" ht="12" customHeight="1" x14ac:dyDescent="0.25">
      <c r="A191" s="5">
        <v>399</v>
      </c>
      <c r="B191" s="19" t="s">
        <v>123</v>
      </c>
      <c r="C191" s="19" t="s">
        <v>12</v>
      </c>
      <c r="D191" s="5" t="s">
        <v>124</v>
      </c>
      <c r="E191" s="6">
        <v>367216.52637688001</v>
      </c>
      <c r="F191" s="6">
        <v>6548301.6255245004</v>
      </c>
      <c r="G191" s="7" t="str">
        <f>HYPERLINK("https://minkarta.lantmateriet.se/?e=367216,52637688&amp;n=6548301,6255245&amp;z=12&amp;profile=flygbildmedgranser&amp;background=2&amp;boundaries=true","Visa")</f>
        <v>Visa</v>
      </c>
      <c r="H191" s="5" t="s">
        <v>13</v>
      </c>
      <c r="I191" s="8">
        <v>41.703859999999999</v>
      </c>
      <c r="J191" s="9">
        <v>57.304029999999997</v>
      </c>
      <c r="K191" s="9">
        <v>58.757989999999999</v>
      </c>
      <c r="L191" s="14">
        <v>42.682510000000001</v>
      </c>
      <c r="M191" s="9">
        <v>57.803519999999999</v>
      </c>
      <c r="N191" s="9">
        <v>61.274189999999997</v>
      </c>
      <c r="O191" s="14">
        <v>43.502890000000001</v>
      </c>
      <c r="P191" s="9">
        <v>58.788339999999998</v>
      </c>
      <c r="Q191" s="9">
        <v>61.642919999999997</v>
      </c>
      <c r="R191" s="23">
        <v>31.326049999999999</v>
      </c>
      <c r="S191" s="8">
        <v>0.82038</v>
      </c>
      <c r="T191" s="9">
        <v>0.98482000000000003</v>
      </c>
      <c r="U191" s="24">
        <v>0.36873</v>
      </c>
    </row>
    <row r="192" spans="1:21" ht="12" customHeight="1" x14ac:dyDescent="0.25">
      <c r="A192" s="5">
        <v>400</v>
      </c>
      <c r="B192" s="19" t="s">
        <v>123</v>
      </c>
      <c r="C192" s="19" t="s">
        <v>12</v>
      </c>
      <c r="D192" s="5" t="s">
        <v>124</v>
      </c>
      <c r="E192" s="6">
        <v>367212.82047646999</v>
      </c>
      <c r="F192" s="6">
        <v>6548305.3313785996</v>
      </c>
      <c r="G192" s="7" t="str">
        <f>HYPERLINK("https://minkarta.lantmateriet.se/?e=367212,82047647&amp;n=6548305,3313786&amp;z=12&amp;profile=flygbildmedgranser&amp;background=2&amp;boundaries=true","Visa")</f>
        <v>Visa</v>
      </c>
      <c r="H192" s="5" t="s">
        <v>14</v>
      </c>
      <c r="I192" s="8">
        <v>43.895670000000003</v>
      </c>
      <c r="J192" s="9">
        <v>60.505000000000003</v>
      </c>
      <c r="K192" s="9">
        <v>61.958970000000001</v>
      </c>
      <c r="L192" s="14">
        <v>44.855040000000002</v>
      </c>
      <c r="M192" s="9">
        <v>61.0045</v>
      </c>
      <c r="N192" s="9">
        <v>64.475149999999999</v>
      </c>
      <c r="O192" s="14">
        <v>45.658969999999997</v>
      </c>
      <c r="P192" s="9">
        <v>61.989319999999999</v>
      </c>
      <c r="Q192" s="9">
        <v>64.843890000000002</v>
      </c>
      <c r="R192" s="23">
        <v>34.510509999999996</v>
      </c>
      <c r="S192" s="8">
        <v>0.80393000000000003</v>
      </c>
      <c r="T192" s="9">
        <v>0.98482000000000003</v>
      </c>
      <c r="U192" s="24">
        <v>0.36874000000000001</v>
      </c>
    </row>
    <row r="193" spans="1:21" ht="12" customHeight="1" x14ac:dyDescent="0.25">
      <c r="A193" s="5">
        <v>401</v>
      </c>
      <c r="B193" s="19" t="s">
        <v>123</v>
      </c>
      <c r="C193" s="19" t="s">
        <v>12</v>
      </c>
      <c r="D193" s="5" t="s">
        <v>124</v>
      </c>
      <c r="E193" s="6">
        <v>367206.28712451999</v>
      </c>
      <c r="F193" s="6">
        <v>6548301.4109779</v>
      </c>
      <c r="G193" s="7" t="str">
        <f>HYPERLINK("https://minkarta.lantmateriet.se/?e=367206,28712452&amp;n=6548301,4109779&amp;z=12&amp;profile=flygbildmedgranser&amp;background=2&amp;boundaries=true","Visa")</f>
        <v>Visa</v>
      </c>
      <c r="H193" s="5" t="s">
        <v>16</v>
      </c>
      <c r="I193" s="8">
        <v>45.815910000000002</v>
      </c>
      <c r="J193" s="9">
        <v>62.761839999999999</v>
      </c>
      <c r="K193" s="9">
        <v>64.215810000000005</v>
      </c>
      <c r="L193" s="14">
        <v>46.749609999999997</v>
      </c>
      <c r="M193" s="9">
        <v>63.261330000000001</v>
      </c>
      <c r="N193" s="9">
        <v>66.731989999999996</v>
      </c>
      <c r="O193" s="14">
        <v>47.586030000000001</v>
      </c>
      <c r="P193" s="9">
        <v>64.24615</v>
      </c>
      <c r="Q193" s="9">
        <v>67.100729999999999</v>
      </c>
      <c r="R193" s="23">
        <v>33.634390000000003</v>
      </c>
      <c r="S193" s="8">
        <v>0.83642000000000005</v>
      </c>
      <c r="T193" s="9">
        <v>0.98482000000000003</v>
      </c>
      <c r="U193" s="24">
        <v>0.36874000000000001</v>
      </c>
    </row>
    <row r="194" spans="1:21" ht="12" customHeight="1" x14ac:dyDescent="0.25">
      <c r="A194" s="5">
        <v>402</v>
      </c>
      <c r="B194" s="19" t="s">
        <v>125</v>
      </c>
      <c r="C194" s="19" t="s">
        <v>12</v>
      </c>
      <c r="D194" s="5" t="s">
        <v>126</v>
      </c>
      <c r="E194" s="6">
        <v>367220.61440108001</v>
      </c>
      <c r="F194" s="6">
        <v>6548313.5915905004</v>
      </c>
      <c r="G194" s="7" t="str">
        <f>HYPERLINK("https://minkarta.lantmateriet.se/?e=367220,61440108&amp;n=6548313,5915905&amp;z=12&amp;profile=flygbildmedgranser&amp;background=2&amp;boundaries=true","Visa")</f>
        <v>Visa</v>
      </c>
      <c r="H194" s="5" t="s">
        <v>13</v>
      </c>
      <c r="I194" s="8">
        <v>48.432250000000003</v>
      </c>
      <c r="J194" s="9">
        <v>61.72475</v>
      </c>
      <c r="K194" s="9">
        <v>63.178710000000002</v>
      </c>
      <c r="L194" s="14">
        <v>49.408369999999998</v>
      </c>
      <c r="M194" s="9">
        <v>62.224240000000002</v>
      </c>
      <c r="N194" s="9">
        <v>65.694900000000004</v>
      </c>
      <c r="O194" s="14">
        <v>50.320250000000001</v>
      </c>
      <c r="P194" s="9">
        <v>63.209060000000001</v>
      </c>
      <c r="Q194" s="9">
        <v>66.063640000000007</v>
      </c>
      <c r="R194" s="23">
        <v>21.091239999999999</v>
      </c>
      <c r="S194" s="8">
        <v>0.91188000000000002</v>
      </c>
      <c r="T194" s="9">
        <v>0.98482000000000003</v>
      </c>
      <c r="U194" s="24">
        <v>0.36874000000000001</v>
      </c>
    </row>
    <row r="195" spans="1:21" ht="12" customHeight="1" x14ac:dyDescent="0.25">
      <c r="A195" s="5">
        <v>403</v>
      </c>
      <c r="B195" s="19" t="s">
        <v>125</v>
      </c>
      <c r="C195" s="19" t="s">
        <v>12</v>
      </c>
      <c r="D195" s="5" t="s">
        <v>126</v>
      </c>
      <c r="E195" s="6">
        <v>367222.35658712999</v>
      </c>
      <c r="F195" s="6">
        <v>6548315.1156027997</v>
      </c>
      <c r="G195" s="7" t="str">
        <f>HYPERLINK("https://minkarta.lantmateriet.se/?e=367222,35658713&amp;n=6548315,1156028&amp;z=12&amp;profile=flygbildmedgranser&amp;background=2&amp;boundaries=true","Visa")</f>
        <v>Visa</v>
      </c>
      <c r="H195" s="5" t="s">
        <v>15</v>
      </c>
      <c r="I195" s="8">
        <v>43.66677</v>
      </c>
      <c r="J195" s="9">
        <v>62.15652</v>
      </c>
      <c r="K195" s="9">
        <v>63.610489999999999</v>
      </c>
      <c r="L195" s="14">
        <v>44.66713</v>
      </c>
      <c r="M195" s="9">
        <v>62.656019999999998</v>
      </c>
      <c r="N195" s="9">
        <v>66.126679999999993</v>
      </c>
      <c r="O195" s="14">
        <v>45.505429999999997</v>
      </c>
      <c r="P195" s="9">
        <v>63.640830000000001</v>
      </c>
      <c r="Q195" s="9">
        <v>66.495410000000007</v>
      </c>
      <c r="R195" s="23">
        <v>21.374220000000001</v>
      </c>
      <c r="S195" s="8">
        <v>0.83830000000000005</v>
      </c>
      <c r="T195" s="9">
        <v>0.98480999999999996</v>
      </c>
      <c r="U195" s="24">
        <v>0.36873</v>
      </c>
    </row>
    <row r="196" spans="1:21" ht="12" customHeight="1" x14ac:dyDescent="0.25">
      <c r="A196" s="5">
        <v>404</v>
      </c>
      <c r="B196" s="19" t="s">
        <v>125</v>
      </c>
      <c r="C196" s="19" t="s">
        <v>12</v>
      </c>
      <c r="D196" s="5" t="s">
        <v>126</v>
      </c>
      <c r="E196" s="6">
        <v>367224.41940195003</v>
      </c>
      <c r="F196" s="6">
        <v>6548317.4665929005</v>
      </c>
      <c r="G196" s="7" t="str">
        <f>HYPERLINK("https://minkarta.lantmateriet.se/?e=367224,41940195&amp;n=6548317,4665929&amp;z=12&amp;profile=flygbildmedgranser&amp;background=2&amp;boundaries=true","Visa")</f>
        <v>Visa</v>
      </c>
      <c r="H196" s="5" t="s">
        <v>13</v>
      </c>
      <c r="I196" s="8">
        <v>52.914090000000002</v>
      </c>
      <c r="J196" s="9">
        <v>69.039789999999996</v>
      </c>
      <c r="K196" s="9">
        <v>70.493759999999995</v>
      </c>
      <c r="L196" s="14">
        <v>53.903179999999999</v>
      </c>
      <c r="M196" s="9">
        <v>69.539289999999994</v>
      </c>
      <c r="N196" s="9">
        <v>73.009950000000003</v>
      </c>
      <c r="O196" s="14">
        <v>54.839919999999999</v>
      </c>
      <c r="P196" s="9">
        <v>70.524109999999993</v>
      </c>
      <c r="Q196" s="9">
        <v>73.378680000000003</v>
      </c>
      <c r="R196" s="23">
        <v>31.783329999999999</v>
      </c>
      <c r="S196" s="8">
        <v>0.93674000000000002</v>
      </c>
      <c r="T196" s="9">
        <v>0.98482000000000003</v>
      </c>
      <c r="U196" s="24">
        <v>0.36873</v>
      </c>
    </row>
    <row r="197" spans="1:21" ht="12" customHeight="1" x14ac:dyDescent="0.25">
      <c r="A197" s="5">
        <v>405</v>
      </c>
      <c r="B197" s="19" t="s">
        <v>125</v>
      </c>
      <c r="C197" s="19" t="s">
        <v>12</v>
      </c>
      <c r="D197" s="5" t="s">
        <v>126</v>
      </c>
      <c r="E197" s="6">
        <v>367224.34341486997</v>
      </c>
      <c r="F197" s="6">
        <v>6548320.5944012003</v>
      </c>
      <c r="G197" s="7" t="str">
        <f>HYPERLINK("https://minkarta.lantmateriet.se/?e=367224,34341487&amp;n=6548320,5944012&amp;z=12&amp;profile=flygbildmedgranser&amp;background=2&amp;boundaries=true","Visa")</f>
        <v>Visa</v>
      </c>
      <c r="H197" s="5" t="s">
        <v>14</v>
      </c>
      <c r="I197" s="8">
        <v>55.90504</v>
      </c>
      <c r="J197" s="9">
        <v>70.290099999999995</v>
      </c>
      <c r="K197" s="9">
        <v>71.744060000000005</v>
      </c>
      <c r="L197" s="14">
        <v>56.887740000000001</v>
      </c>
      <c r="M197" s="9">
        <v>70.789590000000004</v>
      </c>
      <c r="N197" s="9">
        <v>74.260249999999999</v>
      </c>
      <c r="O197" s="14">
        <v>57.833370000000002</v>
      </c>
      <c r="P197" s="9">
        <v>71.774410000000003</v>
      </c>
      <c r="Q197" s="9">
        <v>74.628979999999999</v>
      </c>
      <c r="R197" s="23">
        <v>31.284990000000001</v>
      </c>
      <c r="S197" s="8">
        <v>0.94562999999999997</v>
      </c>
      <c r="T197" s="9">
        <v>0.98482000000000003</v>
      </c>
      <c r="U197" s="24">
        <v>0.36873</v>
      </c>
    </row>
    <row r="198" spans="1:21" ht="12" customHeight="1" x14ac:dyDescent="0.25">
      <c r="A198" s="5">
        <v>406</v>
      </c>
      <c r="B198" s="19" t="s">
        <v>125</v>
      </c>
      <c r="C198" s="19" t="s">
        <v>12</v>
      </c>
      <c r="D198" s="5" t="s">
        <v>126</v>
      </c>
      <c r="E198" s="6">
        <v>367219.47841843002</v>
      </c>
      <c r="F198" s="6">
        <v>6548324.0293998998</v>
      </c>
      <c r="G198" s="7" t="str">
        <f>HYPERLINK("https://minkarta.lantmateriet.se/?e=367219,47841843&amp;n=6548324,0293999&amp;z=12&amp;profile=flygbildmedgranser&amp;background=2&amp;boundaries=true","Visa")</f>
        <v>Visa</v>
      </c>
      <c r="H198" s="5" t="s">
        <v>14</v>
      </c>
      <c r="I198" s="8">
        <v>57.515349999999998</v>
      </c>
      <c r="J198" s="9">
        <v>71.372829999999993</v>
      </c>
      <c r="K198" s="9">
        <v>72.826790000000003</v>
      </c>
      <c r="L198" s="14">
        <v>58.483899999999998</v>
      </c>
      <c r="M198" s="9">
        <v>71.872320000000002</v>
      </c>
      <c r="N198" s="9">
        <v>75.34299</v>
      </c>
      <c r="O198" s="14">
        <v>59.431780000000003</v>
      </c>
      <c r="P198" s="9">
        <v>72.857150000000004</v>
      </c>
      <c r="Q198" s="9">
        <v>75.71172</v>
      </c>
      <c r="R198" s="23">
        <v>32.194139999999997</v>
      </c>
      <c r="S198" s="8">
        <v>0.94787999999999994</v>
      </c>
      <c r="T198" s="9">
        <v>0.98482999999999998</v>
      </c>
      <c r="U198" s="24">
        <v>0.36873</v>
      </c>
    </row>
    <row r="199" spans="1:21" ht="12" customHeight="1" x14ac:dyDescent="0.25">
      <c r="A199" s="5">
        <v>407</v>
      </c>
      <c r="B199" s="19" t="s">
        <v>125</v>
      </c>
      <c r="C199" s="19" t="s">
        <v>12</v>
      </c>
      <c r="D199" s="5" t="s">
        <v>126</v>
      </c>
      <c r="E199" s="6">
        <v>367213.16560230003</v>
      </c>
      <c r="F199" s="6">
        <v>6548320.2234172998</v>
      </c>
      <c r="G199" s="7" t="str">
        <f>HYPERLINK("https://minkarta.lantmateriet.se/?e=367213,1656023&amp;n=6548320,2234173&amp;z=12&amp;profile=flygbildmedgranser&amp;background=2&amp;boundaries=true","Visa")</f>
        <v>Visa</v>
      </c>
      <c r="H199" s="5" t="s">
        <v>16</v>
      </c>
      <c r="I199" s="8">
        <v>52.506520000000002</v>
      </c>
      <c r="J199" s="9">
        <v>69.418049999999994</v>
      </c>
      <c r="K199" s="9">
        <v>70.872020000000006</v>
      </c>
      <c r="L199" s="14">
        <v>53.454520000000002</v>
      </c>
      <c r="M199" s="9">
        <v>69.917550000000006</v>
      </c>
      <c r="N199" s="9">
        <v>73.388210000000001</v>
      </c>
      <c r="O199" s="14">
        <v>54.381369999999997</v>
      </c>
      <c r="P199" s="9">
        <v>70.902370000000005</v>
      </c>
      <c r="Q199" s="9">
        <v>73.75694</v>
      </c>
      <c r="R199" s="23">
        <v>32.908279999999998</v>
      </c>
      <c r="S199" s="8">
        <v>0.92684999999999995</v>
      </c>
      <c r="T199" s="9">
        <v>0.98482000000000003</v>
      </c>
      <c r="U199" s="24">
        <v>0.36873</v>
      </c>
    </row>
    <row r="200" spans="1:21" ht="12" customHeight="1" x14ac:dyDescent="0.25">
      <c r="A200" s="5">
        <v>408</v>
      </c>
      <c r="B200" s="19" t="s">
        <v>125</v>
      </c>
      <c r="C200" s="19" t="s">
        <v>12</v>
      </c>
      <c r="D200" s="5" t="s">
        <v>126</v>
      </c>
      <c r="E200" s="6">
        <v>367215.56158356997</v>
      </c>
      <c r="F200" s="6">
        <v>6548313.2506040996</v>
      </c>
      <c r="G200" s="7" t="str">
        <f>HYPERLINK("https://minkarta.lantmateriet.se/?e=367215,56158357&amp;n=6548313,2506041&amp;z=12&amp;profile=flygbildmedgranser&amp;background=2&amp;boundaries=true","Visa")</f>
        <v>Visa</v>
      </c>
      <c r="H200" s="5" t="s">
        <v>15</v>
      </c>
      <c r="I200" s="8">
        <v>45.437989999999999</v>
      </c>
      <c r="J200" s="9">
        <v>63.483640000000001</v>
      </c>
      <c r="K200" s="9">
        <v>64.937610000000006</v>
      </c>
      <c r="L200" s="14">
        <v>46.392400000000002</v>
      </c>
      <c r="M200" s="9">
        <v>63.983139999999999</v>
      </c>
      <c r="N200" s="9">
        <v>67.453800000000001</v>
      </c>
      <c r="O200" s="14">
        <v>47.185099999999998</v>
      </c>
      <c r="P200" s="9">
        <v>64.967960000000005</v>
      </c>
      <c r="Q200" s="9">
        <v>67.82253</v>
      </c>
      <c r="R200" s="23">
        <v>30.58905</v>
      </c>
      <c r="S200" s="8">
        <v>0.79269999999999996</v>
      </c>
      <c r="T200" s="9">
        <v>0.98482000000000003</v>
      </c>
      <c r="U200" s="24">
        <v>0.36873</v>
      </c>
    </row>
    <row r="201" spans="1:21" ht="12" customHeight="1" x14ac:dyDescent="0.25">
      <c r="A201" s="5">
        <v>425</v>
      </c>
      <c r="B201" s="19" t="s">
        <v>127</v>
      </c>
      <c r="C201" s="19" t="s">
        <v>12</v>
      </c>
      <c r="D201" s="5" t="s">
        <v>128</v>
      </c>
      <c r="E201" s="6">
        <v>367113.83126299997</v>
      </c>
      <c r="F201" s="6">
        <v>6548499.6311542001</v>
      </c>
      <c r="G201" s="7" t="str">
        <f>HYPERLINK("https://minkarta.lantmateriet.se/?e=367113,831263&amp;n=6548499,6311542&amp;z=12&amp;profile=flygbildmedgranser&amp;background=2&amp;boundaries=true","Visa")</f>
        <v>Visa</v>
      </c>
      <c r="H201" s="5" t="s">
        <v>15</v>
      </c>
      <c r="I201" s="8">
        <v>40.62209</v>
      </c>
      <c r="J201" s="9">
        <v>51.120060000000002</v>
      </c>
      <c r="K201" s="9">
        <v>52.574019999999997</v>
      </c>
      <c r="L201" s="14">
        <v>41.58813</v>
      </c>
      <c r="M201" s="9">
        <v>51.61956</v>
      </c>
      <c r="N201" s="9">
        <v>55.090209999999999</v>
      </c>
      <c r="O201" s="14">
        <v>42.229709999999997</v>
      </c>
      <c r="P201" s="9">
        <v>52.604370000000003</v>
      </c>
      <c r="Q201" s="9">
        <v>55.458950000000002</v>
      </c>
      <c r="R201" s="23">
        <v>39.530760000000001</v>
      </c>
      <c r="S201" s="8">
        <v>0.64158000000000004</v>
      </c>
      <c r="T201" s="9">
        <v>0.98480999999999996</v>
      </c>
      <c r="U201" s="24">
        <v>0.36874000000000001</v>
      </c>
    </row>
    <row r="202" spans="1:21" ht="12" customHeight="1" x14ac:dyDescent="0.25">
      <c r="A202" s="5">
        <v>426</v>
      </c>
      <c r="B202" s="19" t="s">
        <v>127</v>
      </c>
      <c r="C202" s="19" t="s">
        <v>12</v>
      </c>
      <c r="D202" s="5" t="s">
        <v>128</v>
      </c>
      <c r="E202" s="6">
        <v>367118.73284855997</v>
      </c>
      <c r="F202" s="6">
        <v>6548504.2347625997</v>
      </c>
      <c r="G202" s="7" t="str">
        <f>HYPERLINK("https://minkarta.lantmateriet.se/?e=367118,73284856&amp;n=6548504,2347626&amp;z=12&amp;profile=flygbildmedgranser&amp;background=2&amp;boundaries=true","Visa")</f>
        <v>Visa</v>
      </c>
      <c r="H202" s="5" t="s">
        <v>13</v>
      </c>
      <c r="I202" s="8">
        <v>37.539960000000001</v>
      </c>
      <c r="J202" s="9">
        <v>44.48686</v>
      </c>
      <c r="K202" s="9">
        <v>45.940829999999998</v>
      </c>
      <c r="L202" s="14">
        <v>38.466650000000001</v>
      </c>
      <c r="M202" s="9">
        <v>44.986359999999998</v>
      </c>
      <c r="N202" s="9">
        <v>48.45702</v>
      </c>
      <c r="O202" s="14">
        <v>38.89913</v>
      </c>
      <c r="P202" s="9">
        <v>45.873100000000001</v>
      </c>
      <c r="Q202" s="9">
        <v>48.727679999999999</v>
      </c>
      <c r="R202" s="23">
        <v>26.835920000000002</v>
      </c>
      <c r="S202" s="8">
        <v>0.43247999999999998</v>
      </c>
      <c r="T202" s="9">
        <v>0.88673999999999997</v>
      </c>
      <c r="U202" s="24">
        <v>0.27066000000000001</v>
      </c>
    </row>
    <row r="203" spans="1:21" ht="12" customHeight="1" x14ac:dyDescent="0.25">
      <c r="A203" s="5">
        <v>427</v>
      </c>
      <c r="B203" s="19" t="s">
        <v>127</v>
      </c>
      <c r="C203" s="19" t="s">
        <v>12</v>
      </c>
      <c r="D203" s="5" t="s">
        <v>128</v>
      </c>
      <c r="E203" s="6">
        <v>367113.20574041997</v>
      </c>
      <c r="F203" s="6">
        <v>6548510.6798496004</v>
      </c>
      <c r="G203" s="7" t="str">
        <f>HYPERLINK("https://minkarta.lantmateriet.se/?e=367113,20574042&amp;n=6548510,6798496&amp;z=12&amp;profile=flygbildmedgranser&amp;background=2&amp;boundaries=true","Visa")</f>
        <v>Visa</v>
      </c>
      <c r="H203" s="5" t="s">
        <v>14</v>
      </c>
      <c r="I203" s="8">
        <v>35.928719999999998</v>
      </c>
      <c r="J203" s="9">
        <v>38.79224</v>
      </c>
      <c r="K203" s="9">
        <v>40.360990000000001</v>
      </c>
      <c r="L203" s="14">
        <v>36.844909999999999</v>
      </c>
      <c r="M203" s="9">
        <v>39.24877</v>
      </c>
      <c r="N203" s="9">
        <v>40.866489999999999</v>
      </c>
      <c r="O203" s="14">
        <v>37.061570000000003</v>
      </c>
      <c r="P203" s="9">
        <v>39.279850000000003</v>
      </c>
      <c r="Q203" s="9">
        <v>40.896090000000001</v>
      </c>
      <c r="R203" s="23">
        <v>29.784230000000001</v>
      </c>
      <c r="S203" s="8">
        <v>0.21665999999999999</v>
      </c>
      <c r="T203" s="9">
        <v>3.108E-2</v>
      </c>
      <c r="U203" s="24">
        <v>2.9600000000000001E-2</v>
      </c>
    </row>
    <row r="204" spans="1:21" ht="12" customHeight="1" x14ac:dyDescent="0.25">
      <c r="A204" s="5">
        <v>428</v>
      </c>
      <c r="B204" s="19" t="s">
        <v>127</v>
      </c>
      <c r="C204" s="19" t="s">
        <v>12</v>
      </c>
      <c r="D204" s="5" t="s">
        <v>128</v>
      </c>
      <c r="E204" s="6">
        <v>367105.90065354999</v>
      </c>
      <c r="F204" s="6">
        <v>6548507.0607420001</v>
      </c>
      <c r="G204" s="7" t="str">
        <f>HYPERLINK("https://minkarta.lantmateriet.se/?e=367105,90065355&amp;n=6548507,060742&amp;z=12&amp;profile=flygbildmedgranser&amp;background=2&amp;boundaries=true","Visa")</f>
        <v>Visa</v>
      </c>
      <c r="H204" s="5" t="s">
        <v>16</v>
      </c>
      <c r="I204" s="8">
        <v>39.934440000000002</v>
      </c>
      <c r="J204" s="9">
        <v>50.24953</v>
      </c>
      <c r="K204" s="9">
        <v>51.703499999999998</v>
      </c>
      <c r="L204" s="14">
        <v>40.861620000000002</v>
      </c>
      <c r="M204" s="9">
        <v>50.749029999999998</v>
      </c>
      <c r="N204" s="9">
        <v>54.21969</v>
      </c>
      <c r="O204" s="14">
        <v>41.19464</v>
      </c>
      <c r="P204" s="9">
        <v>51.733849999999997</v>
      </c>
      <c r="Q204" s="9">
        <v>54.588419999999999</v>
      </c>
      <c r="R204" s="23">
        <v>38.465710000000001</v>
      </c>
      <c r="S204" s="8">
        <v>0.33301999999999998</v>
      </c>
      <c r="T204" s="9">
        <v>0.98482000000000003</v>
      </c>
      <c r="U204" s="24">
        <v>0.36873</v>
      </c>
    </row>
    <row r="205" spans="1:21" ht="12" customHeight="1" x14ac:dyDescent="0.25">
      <c r="A205" s="5">
        <v>429</v>
      </c>
      <c r="B205" s="19" t="s">
        <v>127</v>
      </c>
      <c r="C205" s="19" t="s">
        <v>12</v>
      </c>
      <c r="D205" s="5" t="s">
        <v>128</v>
      </c>
      <c r="E205" s="6">
        <v>367107.56926382001</v>
      </c>
      <c r="F205" s="6">
        <v>6548501.8571539996</v>
      </c>
      <c r="G205" s="7" t="str">
        <f>HYPERLINK("https://minkarta.lantmateriet.se/?e=367107,56926382&amp;n=6548501,857154&amp;z=12&amp;profile=flygbildmedgranser&amp;background=2&amp;boundaries=true","Visa")</f>
        <v>Visa</v>
      </c>
      <c r="H205" s="5" t="s">
        <v>15</v>
      </c>
      <c r="I205" s="8">
        <v>40.950240000000001</v>
      </c>
      <c r="J205" s="9">
        <v>51.109110000000001</v>
      </c>
      <c r="K205" s="9">
        <v>52.563079999999999</v>
      </c>
      <c r="L205" s="14">
        <v>41.905929999999998</v>
      </c>
      <c r="M205" s="9">
        <v>51.608609999999999</v>
      </c>
      <c r="N205" s="9">
        <v>55.079270000000001</v>
      </c>
      <c r="O205" s="14">
        <v>42.526510000000002</v>
      </c>
      <c r="P205" s="9">
        <v>52.593429999999998</v>
      </c>
      <c r="Q205" s="9">
        <v>55.448</v>
      </c>
      <c r="R205" s="23">
        <v>41.130139999999997</v>
      </c>
      <c r="S205" s="8">
        <v>0.62058000000000002</v>
      </c>
      <c r="T205" s="9">
        <v>0.98482000000000003</v>
      </c>
      <c r="U205" s="24">
        <v>0.36873</v>
      </c>
    </row>
    <row r="206" spans="1:21" ht="12" customHeight="1" x14ac:dyDescent="0.25">
      <c r="A206" s="5">
        <v>430</v>
      </c>
      <c r="B206" s="19" t="s">
        <v>129</v>
      </c>
      <c r="C206" s="19" t="s">
        <v>12</v>
      </c>
      <c r="D206" s="5" t="s">
        <v>130</v>
      </c>
      <c r="E206" s="6">
        <v>367139.93986655999</v>
      </c>
      <c r="F206" s="6">
        <v>6548501.6038678</v>
      </c>
      <c r="G206" s="7" t="str">
        <f>HYPERLINK("https://minkarta.lantmateriet.se/?e=367139,93986656&amp;n=6548501,6038678&amp;z=12&amp;profile=flygbildmedgranser&amp;background=2&amp;boundaries=true","Visa")</f>
        <v>Visa</v>
      </c>
      <c r="H206" s="5" t="s">
        <v>13</v>
      </c>
      <c r="I206" s="8">
        <v>36.280569999999997</v>
      </c>
      <c r="J206" s="9">
        <v>43.574620000000003</v>
      </c>
      <c r="K206" s="9">
        <v>45.028579999999998</v>
      </c>
      <c r="L206" s="14">
        <v>37.205730000000003</v>
      </c>
      <c r="M206" s="9">
        <v>44.074109999999997</v>
      </c>
      <c r="N206" s="9">
        <v>47.54477</v>
      </c>
      <c r="O206" s="14">
        <v>37.675559999999997</v>
      </c>
      <c r="P206" s="9">
        <v>45.058929999999997</v>
      </c>
      <c r="Q206" s="9">
        <v>47.913510000000002</v>
      </c>
      <c r="R206" s="23">
        <v>37.206609999999998</v>
      </c>
      <c r="S206" s="8">
        <v>0.46983000000000003</v>
      </c>
      <c r="T206" s="9">
        <v>0.98482000000000003</v>
      </c>
      <c r="U206" s="24">
        <v>0.36874000000000001</v>
      </c>
    </row>
    <row r="207" spans="1:21" ht="12" customHeight="1" x14ac:dyDescent="0.25">
      <c r="A207" s="5">
        <v>431</v>
      </c>
      <c r="B207" s="19" t="s">
        <v>129</v>
      </c>
      <c r="C207" s="19" t="s">
        <v>12</v>
      </c>
      <c r="D207" s="5" t="s">
        <v>130</v>
      </c>
      <c r="E207" s="6">
        <v>367134.96163659001</v>
      </c>
      <c r="F207" s="6">
        <v>6548507.0603673002</v>
      </c>
      <c r="G207" s="7" t="str">
        <f>HYPERLINK("https://minkarta.lantmateriet.se/?e=367134,96163659&amp;n=6548507,0603673&amp;z=12&amp;profile=flygbildmedgranser&amp;background=2&amp;boundaries=true","Visa")</f>
        <v>Visa</v>
      </c>
      <c r="H207" s="5" t="s">
        <v>14</v>
      </c>
      <c r="I207" s="8">
        <v>34.722340000000003</v>
      </c>
      <c r="J207" s="9">
        <v>37.896349999999998</v>
      </c>
      <c r="K207" s="9">
        <v>39.4651</v>
      </c>
      <c r="L207" s="14">
        <v>35.655630000000002</v>
      </c>
      <c r="M207" s="9">
        <v>38.352879999999999</v>
      </c>
      <c r="N207" s="9">
        <v>39.970599999999997</v>
      </c>
      <c r="O207" s="14">
        <v>35.915469999999999</v>
      </c>
      <c r="P207" s="9">
        <v>38.383960000000002</v>
      </c>
      <c r="Q207" s="9">
        <v>40.0002</v>
      </c>
      <c r="R207" s="23">
        <v>28.89263</v>
      </c>
      <c r="S207" s="8">
        <v>0.25984000000000002</v>
      </c>
      <c r="T207" s="9">
        <v>3.108E-2</v>
      </c>
      <c r="U207" s="24">
        <v>2.9600000000000001E-2</v>
      </c>
    </row>
    <row r="208" spans="1:21" ht="12" customHeight="1" x14ac:dyDescent="0.25">
      <c r="A208" s="5">
        <v>432</v>
      </c>
      <c r="B208" s="19" t="s">
        <v>129</v>
      </c>
      <c r="C208" s="19" t="s">
        <v>12</v>
      </c>
      <c r="D208" s="5" t="s">
        <v>130</v>
      </c>
      <c r="E208" s="6">
        <v>367128.48963557999</v>
      </c>
      <c r="F208" s="6">
        <v>6548503.5016371002</v>
      </c>
      <c r="G208" s="7" t="str">
        <f>HYPERLINK("https://minkarta.lantmateriet.se/?e=367128,48963558&amp;n=6548503,5016371&amp;z=12&amp;profile=flygbildmedgranser&amp;background=2&amp;boundaries=true","Visa")</f>
        <v>Visa</v>
      </c>
      <c r="H208" s="5" t="s">
        <v>16</v>
      </c>
      <c r="I208" s="8">
        <v>40.053840000000001</v>
      </c>
      <c r="J208" s="9">
        <v>50.01887</v>
      </c>
      <c r="K208" s="9">
        <v>51.472830000000002</v>
      </c>
      <c r="L208" s="14">
        <v>41.008620000000001</v>
      </c>
      <c r="M208" s="9">
        <v>50.518360000000001</v>
      </c>
      <c r="N208" s="9">
        <v>53.989019999999996</v>
      </c>
      <c r="O208" s="14">
        <v>41.347589999999997</v>
      </c>
      <c r="P208" s="9">
        <v>51.50318</v>
      </c>
      <c r="Q208" s="9">
        <v>54.357759999999999</v>
      </c>
      <c r="R208" s="23">
        <v>32.68141</v>
      </c>
      <c r="S208" s="8">
        <v>0.33896999999999999</v>
      </c>
      <c r="T208" s="9">
        <v>0.98482000000000003</v>
      </c>
      <c r="U208" s="24">
        <v>0.36874000000000001</v>
      </c>
    </row>
    <row r="209" spans="1:21" ht="12" customHeight="1" x14ac:dyDescent="0.25">
      <c r="A209" s="5">
        <v>433</v>
      </c>
      <c r="B209" s="19" t="s">
        <v>129</v>
      </c>
      <c r="C209" s="19" t="s">
        <v>12</v>
      </c>
      <c r="D209" s="5" t="s">
        <v>130</v>
      </c>
      <c r="E209" s="6">
        <v>367133.46786639001</v>
      </c>
      <c r="F209" s="6">
        <v>6548498.0451365001</v>
      </c>
      <c r="G209" s="7" t="str">
        <f>HYPERLINK("https://minkarta.lantmateriet.se/?e=367133,46786639&amp;n=6548498,0451365&amp;z=12&amp;profile=flygbildmedgranser&amp;background=2&amp;boundaries=true","Visa")</f>
        <v>Visa</v>
      </c>
      <c r="H209" s="5" t="s">
        <v>15</v>
      </c>
      <c r="I209" s="8">
        <v>40.939399999999999</v>
      </c>
      <c r="J209" s="9">
        <v>50.418480000000002</v>
      </c>
      <c r="K209" s="9">
        <v>51.872439999999997</v>
      </c>
      <c r="L209" s="14">
        <v>41.88984</v>
      </c>
      <c r="M209" s="9">
        <v>50.917969999999997</v>
      </c>
      <c r="N209" s="9">
        <v>54.388629999999999</v>
      </c>
      <c r="O209" s="14">
        <v>42.389620000000001</v>
      </c>
      <c r="P209" s="9">
        <v>51.902790000000003</v>
      </c>
      <c r="Q209" s="9">
        <v>54.757370000000002</v>
      </c>
      <c r="R209" s="23">
        <v>41.065199999999997</v>
      </c>
      <c r="S209" s="8">
        <v>0.49978</v>
      </c>
      <c r="T209" s="9">
        <v>0.98482000000000003</v>
      </c>
      <c r="U209" s="24">
        <v>0.36874000000000001</v>
      </c>
    </row>
    <row r="210" spans="1:21" ht="12" customHeight="1" x14ac:dyDescent="0.25">
      <c r="A210" s="5">
        <v>434</v>
      </c>
      <c r="B210" s="19" t="s">
        <v>131</v>
      </c>
      <c r="C210" s="19" t="s">
        <v>12</v>
      </c>
      <c r="D210" s="5" t="s">
        <v>132</v>
      </c>
      <c r="E210" s="6">
        <v>367162.33886263001</v>
      </c>
      <c r="F210" s="6">
        <v>6548496.9653441999</v>
      </c>
      <c r="G210" s="7" t="str">
        <f>HYPERLINK("https://minkarta.lantmateriet.se/?e=367162,33886263&amp;n=6548496,9653442&amp;z=12&amp;profile=flygbildmedgranser&amp;background=2&amp;boundaries=true","Visa")</f>
        <v>Visa</v>
      </c>
      <c r="H210" s="5" t="s">
        <v>13</v>
      </c>
      <c r="I210" s="8">
        <v>37.226550000000003</v>
      </c>
      <c r="J210" s="9">
        <v>45.311959999999999</v>
      </c>
      <c r="K210" s="9">
        <v>46.765920000000001</v>
      </c>
      <c r="L210" s="14">
        <v>38.153730000000003</v>
      </c>
      <c r="M210" s="9">
        <v>45.811450000000001</v>
      </c>
      <c r="N210" s="9">
        <v>49.282110000000003</v>
      </c>
      <c r="O210" s="14">
        <v>38.631570000000004</v>
      </c>
      <c r="P210" s="9">
        <v>46.79627</v>
      </c>
      <c r="Q210" s="9">
        <v>49.650849999999998</v>
      </c>
      <c r="R210" s="23">
        <v>36.181199999999997</v>
      </c>
      <c r="S210" s="8">
        <v>0.47783999999999999</v>
      </c>
      <c r="T210" s="9">
        <v>0.98482000000000003</v>
      </c>
      <c r="U210" s="24">
        <v>0.36874000000000001</v>
      </c>
    </row>
    <row r="211" spans="1:21" ht="12" customHeight="1" x14ac:dyDescent="0.25">
      <c r="A211" s="5">
        <v>435</v>
      </c>
      <c r="B211" s="19" t="s">
        <v>131</v>
      </c>
      <c r="C211" s="19" t="s">
        <v>12</v>
      </c>
      <c r="D211" s="5" t="s">
        <v>132</v>
      </c>
      <c r="E211" s="6">
        <v>367157.50865934999</v>
      </c>
      <c r="F211" s="6">
        <v>6548503.0298635</v>
      </c>
      <c r="G211" s="7" t="str">
        <f>HYPERLINK("https://minkarta.lantmateriet.se/?e=367157,50865935&amp;n=6548503,0298635&amp;z=12&amp;profile=flygbildmedgranser&amp;background=2&amp;boundaries=true","Visa")</f>
        <v>Visa</v>
      </c>
      <c r="H211" s="5" t="s">
        <v>14</v>
      </c>
      <c r="I211" s="8">
        <v>34.343159999999997</v>
      </c>
      <c r="J211" s="9">
        <v>36.503219999999999</v>
      </c>
      <c r="K211" s="9">
        <v>38.07197</v>
      </c>
      <c r="L211" s="14">
        <v>35.269019999999998</v>
      </c>
      <c r="M211" s="9">
        <v>36.95975</v>
      </c>
      <c r="N211" s="9">
        <v>38.577469999999998</v>
      </c>
      <c r="O211" s="14">
        <v>35.53248</v>
      </c>
      <c r="P211" s="9">
        <v>36.990830000000003</v>
      </c>
      <c r="Q211" s="9">
        <v>38.60707</v>
      </c>
      <c r="R211" s="23">
        <v>32.685639999999999</v>
      </c>
      <c r="S211" s="8">
        <v>0.26346000000000003</v>
      </c>
      <c r="T211" s="9">
        <v>3.108E-2</v>
      </c>
      <c r="U211" s="24">
        <v>2.9600000000000001E-2</v>
      </c>
    </row>
    <row r="212" spans="1:21" ht="12" customHeight="1" x14ac:dyDescent="0.25">
      <c r="A212" s="5">
        <v>436</v>
      </c>
      <c r="B212" s="19" t="s">
        <v>131</v>
      </c>
      <c r="C212" s="19" t="s">
        <v>12</v>
      </c>
      <c r="D212" s="5" t="s">
        <v>132</v>
      </c>
      <c r="E212" s="6">
        <v>367151.06063955999</v>
      </c>
      <c r="F212" s="6">
        <v>6548499.4736609003</v>
      </c>
      <c r="G212" s="7" t="str">
        <f>HYPERLINK("https://minkarta.lantmateriet.se/?e=367151,06063956&amp;n=6548499,4736609&amp;z=12&amp;profile=flygbildmedgranser&amp;background=2&amp;boundaries=true","Visa")</f>
        <v>Visa</v>
      </c>
      <c r="H212" s="5" t="s">
        <v>16</v>
      </c>
      <c r="I212" s="8">
        <v>37.708680000000001</v>
      </c>
      <c r="J212" s="9">
        <v>46.608490000000003</v>
      </c>
      <c r="K212" s="9">
        <v>48.062460000000002</v>
      </c>
      <c r="L212" s="14">
        <v>38.648400000000002</v>
      </c>
      <c r="M212" s="9">
        <v>47.107990000000001</v>
      </c>
      <c r="N212" s="9">
        <v>50.578650000000003</v>
      </c>
      <c r="O212" s="14">
        <v>38.997239999999998</v>
      </c>
      <c r="P212" s="9">
        <v>48.09281</v>
      </c>
      <c r="Q212" s="9">
        <v>50.947380000000003</v>
      </c>
      <c r="R212" s="23">
        <v>34.955930000000002</v>
      </c>
      <c r="S212" s="8">
        <v>0.34883999999999998</v>
      </c>
      <c r="T212" s="9">
        <v>0.98482000000000003</v>
      </c>
      <c r="U212" s="24">
        <v>0.36873</v>
      </c>
    </row>
    <row r="213" spans="1:21" ht="12" customHeight="1" x14ac:dyDescent="0.25">
      <c r="A213" s="5">
        <v>437</v>
      </c>
      <c r="B213" s="19" t="s">
        <v>131</v>
      </c>
      <c r="C213" s="19" t="s">
        <v>12</v>
      </c>
      <c r="D213" s="5" t="s">
        <v>132</v>
      </c>
      <c r="E213" s="6">
        <v>367153.01434281003</v>
      </c>
      <c r="F213" s="6">
        <v>6548494.5046404004</v>
      </c>
      <c r="G213" s="7" t="str">
        <f>HYPERLINK("https://minkarta.lantmateriet.se/?e=367153,01434281&amp;n=6548494,5046404&amp;z=12&amp;profile=flygbildmedgranser&amp;background=2&amp;boundaries=true","Visa")</f>
        <v>Visa</v>
      </c>
      <c r="H213" s="5" t="s">
        <v>15</v>
      </c>
      <c r="I213" s="8">
        <v>38.580240000000003</v>
      </c>
      <c r="J213" s="9">
        <v>46.93074</v>
      </c>
      <c r="K213" s="9">
        <v>48.384700000000002</v>
      </c>
      <c r="L213" s="14">
        <v>39.526420000000002</v>
      </c>
      <c r="M213" s="9">
        <v>47.430230000000002</v>
      </c>
      <c r="N213" s="9">
        <v>50.900889999999997</v>
      </c>
      <c r="O213" s="14">
        <v>40.220820000000003</v>
      </c>
      <c r="P213" s="9">
        <v>48.415050000000001</v>
      </c>
      <c r="Q213" s="9">
        <v>51.269629999999999</v>
      </c>
      <c r="R213" s="23">
        <v>41.314070000000001</v>
      </c>
      <c r="S213" s="8">
        <v>0.69440000000000002</v>
      </c>
      <c r="T213" s="9">
        <v>0.98482000000000003</v>
      </c>
      <c r="U213" s="24">
        <v>0.36874000000000001</v>
      </c>
    </row>
    <row r="214" spans="1:21" ht="12" customHeight="1" x14ac:dyDescent="0.25">
      <c r="A214" s="5">
        <v>438</v>
      </c>
      <c r="B214" s="19" t="s">
        <v>131</v>
      </c>
      <c r="C214" s="19" t="s">
        <v>12</v>
      </c>
      <c r="D214" s="5" t="s">
        <v>132</v>
      </c>
      <c r="E214" s="6">
        <v>367158.49334305001</v>
      </c>
      <c r="F214" s="6">
        <v>6548492.3596403999</v>
      </c>
      <c r="G214" s="7" t="str">
        <f>HYPERLINK("https://minkarta.lantmateriet.se/?e=367158,49334305&amp;n=6548492,3596404&amp;z=12&amp;profile=flygbildmedgranser&amp;background=2&amp;boundaries=true","Visa")</f>
        <v>Visa</v>
      </c>
      <c r="H214" s="5" t="s">
        <v>15</v>
      </c>
      <c r="I214" s="8">
        <v>39.158070000000002</v>
      </c>
      <c r="J214" s="9">
        <v>47.089730000000003</v>
      </c>
      <c r="K214" s="9">
        <v>48.543689999999998</v>
      </c>
      <c r="L214" s="14">
        <v>40.088920000000002</v>
      </c>
      <c r="M214" s="9">
        <v>47.589230000000001</v>
      </c>
      <c r="N214" s="9">
        <v>51.05988</v>
      </c>
      <c r="O214" s="14">
        <v>40.675049999999999</v>
      </c>
      <c r="P214" s="9">
        <v>48.574039999999997</v>
      </c>
      <c r="Q214" s="9">
        <v>51.428620000000002</v>
      </c>
      <c r="R214" s="23">
        <v>40.282299999999999</v>
      </c>
      <c r="S214" s="8">
        <v>0.58613000000000004</v>
      </c>
      <c r="T214" s="9">
        <v>0.98480999999999996</v>
      </c>
      <c r="U214" s="24">
        <v>0.36874000000000001</v>
      </c>
    </row>
    <row r="215" spans="1:21" ht="12" customHeight="1" x14ac:dyDescent="0.25">
      <c r="A215" s="5">
        <v>439</v>
      </c>
      <c r="B215" s="19" t="s">
        <v>133</v>
      </c>
      <c r="C215" s="19" t="s">
        <v>12</v>
      </c>
      <c r="D215" s="5" t="s">
        <v>134</v>
      </c>
      <c r="E215" s="6">
        <v>367182.24378357001</v>
      </c>
      <c r="F215" s="6">
        <v>6548488.1766505996</v>
      </c>
      <c r="G215" s="7" t="str">
        <f>HYPERLINK("https://minkarta.lantmateriet.se/?e=367182,24378357&amp;n=6548488,1766506&amp;z=12&amp;profile=flygbildmedgranser&amp;background=2&amp;boundaries=true","Visa")</f>
        <v>Visa</v>
      </c>
      <c r="H215" s="5" t="s">
        <v>15</v>
      </c>
      <c r="I215" s="8">
        <v>39.714210000000001</v>
      </c>
      <c r="J215" s="9">
        <v>47.992319999999999</v>
      </c>
      <c r="K215" s="9">
        <v>49.446289999999998</v>
      </c>
      <c r="L215" s="14">
        <v>40.674869999999999</v>
      </c>
      <c r="M215" s="9">
        <v>48.491819999999997</v>
      </c>
      <c r="N215" s="9">
        <v>51.962470000000003</v>
      </c>
      <c r="O215" s="14">
        <v>41.211109999999998</v>
      </c>
      <c r="P215" s="9">
        <v>49.47663</v>
      </c>
      <c r="Q215" s="9">
        <v>52.331209999999999</v>
      </c>
      <c r="R215" s="23">
        <v>41.365459999999999</v>
      </c>
      <c r="S215" s="8">
        <v>0.53624000000000005</v>
      </c>
      <c r="T215" s="9">
        <v>0.98480999999999996</v>
      </c>
      <c r="U215" s="24">
        <v>0.36874000000000001</v>
      </c>
    </row>
    <row r="216" spans="1:21" ht="12" customHeight="1" x14ac:dyDescent="0.25">
      <c r="A216" s="5">
        <v>440</v>
      </c>
      <c r="B216" s="19" t="s">
        <v>133</v>
      </c>
      <c r="C216" s="19" t="s">
        <v>12</v>
      </c>
      <c r="D216" s="5" t="s">
        <v>134</v>
      </c>
      <c r="E216" s="6">
        <v>367186.08335227001</v>
      </c>
      <c r="F216" s="6">
        <v>6548492.7307837</v>
      </c>
      <c r="G216" s="7" t="str">
        <f>HYPERLINK("https://minkarta.lantmateriet.se/?e=367186,08335227&amp;n=6548492,7307837&amp;z=12&amp;profile=flygbildmedgranser&amp;background=2&amp;boundaries=true","Visa")</f>
        <v>Visa</v>
      </c>
      <c r="H216" s="5" t="s">
        <v>13</v>
      </c>
      <c r="I216" s="8">
        <v>35.511319999999998</v>
      </c>
      <c r="J216" s="9">
        <v>39.179119999999998</v>
      </c>
      <c r="K216" s="9">
        <v>40.63308</v>
      </c>
      <c r="L216" s="14">
        <v>36.441409999999998</v>
      </c>
      <c r="M216" s="9">
        <v>39.678620000000002</v>
      </c>
      <c r="N216" s="9">
        <v>43.149270000000001</v>
      </c>
      <c r="O216" s="14">
        <v>36.720379999999999</v>
      </c>
      <c r="P216" s="9">
        <v>40.663429999999998</v>
      </c>
      <c r="Q216" s="9">
        <v>43.518009999999997</v>
      </c>
      <c r="R216" s="23">
        <v>32.754480000000001</v>
      </c>
      <c r="S216" s="8">
        <v>0.27897</v>
      </c>
      <c r="T216" s="9">
        <v>0.98480999999999996</v>
      </c>
      <c r="U216" s="24">
        <v>0.36874000000000001</v>
      </c>
    </row>
    <row r="217" spans="1:21" ht="12" customHeight="1" x14ac:dyDescent="0.25">
      <c r="A217" s="5">
        <v>441</v>
      </c>
      <c r="B217" s="19" t="s">
        <v>133</v>
      </c>
      <c r="C217" s="19" t="s">
        <v>12</v>
      </c>
      <c r="D217" s="5" t="s">
        <v>134</v>
      </c>
      <c r="E217" s="6">
        <v>367181.16621901002</v>
      </c>
      <c r="F217" s="6">
        <v>6548498.8118532998</v>
      </c>
      <c r="G217" s="7" t="str">
        <f>HYPERLINK("https://minkarta.lantmateriet.se/?e=367181,16621901&amp;n=6548498,8118533&amp;z=12&amp;profile=flygbildmedgranser&amp;background=2&amp;boundaries=true","Visa")</f>
        <v>Visa</v>
      </c>
      <c r="H217" s="5" t="s">
        <v>14</v>
      </c>
      <c r="I217" s="8">
        <v>35.660899999999998</v>
      </c>
      <c r="J217" s="9">
        <v>37.891120000000001</v>
      </c>
      <c r="K217" s="9">
        <v>39.419699999999999</v>
      </c>
      <c r="L217" s="14">
        <v>36.571240000000003</v>
      </c>
      <c r="M217" s="9">
        <v>38.320230000000002</v>
      </c>
      <c r="N217" s="9">
        <v>39.938200000000002</v>
      </c>
      <c r="O217" s="14">
        <v>36.809489999999997</v>
      </c>
      <c r="P217" s="9">
        <v>38.348680000000002</v>
      </c>
      <c r="Q217" s="9">
        <v>39.96752</v>
      </c>
      <c r="R217" s="23">
        <v>31.949280000000002</v>
      </c>
      <c r="S217" s="8">
        <v>0.23824999999999999</v>
      </c>
      <c r="T217" s="9">
        <v>2.845E-2</v>
      </c>
      <c r="U217" s="24">
        <v>2.9319999999999999E-2</v>
      </c>
    </row>
    <row r="218" spans="1:21" ht="12" customHeight="1" x14ac:dyDescent="0.25">
      <c r="A218" s="5">
        <v>442</v>
      </c>
      <c r="B218" s="19" t="s">
        <v>133</v>
      </c>
      <c r="C218" s="19" t="s">
        <v>12</v>
      </c>
      <c r="D218" s="5" t="s">
        <v>134</v>
      </c>
      <c r="E218" s="6">
        <v>367174.58014993003</v>
      </c>
      <c r="F218" s="6">
        <v>6548495.3277214002</v>
      </c>
      <c r="G218" s="7" t="str">
        <f>HYPERLINK("https://minkarta.lantmateriet.se/?e=367174,58014993&amp;n=6548495,3277214&amp;z=12&amp;profile=flygbildmedgranser&amp;background=2&amp;boundaries=true","Visa")</f>
        <v>Visa</v>
      </c>
      <c r="H218" s="5" t="s">
        <v>16</v>
      </c>
      <c r="I218" s="8">
        <v>36.937019999999997</v>
      </c>
      <c r="J218" s="9">
        <v>44.138199999999998</v>
      </c>
      <c r="K218" s="9">
        <v>45.59216</v>
      </c>
      <c r="L218" s="14">
        <v>37.883069999999996</v>
      </c>
      <c r="M218" s="9">
        <v>44.637700000000002</v>
      </c>
      <c r="N218" s="9">
        <v>48.108350000000002</v>
      </c>
      <c r="O218" s="14">
        <v>38.276530000000001</v>
      </c>
      <c r="P218" s="9">
        <v>45.622509999999998</v>
      </c>
      <c r="Q218" s="9">
        <v>48.477089999999997</v>
      </c>
      <c r="R218" s="23">
        <v>33.580300000000001</v>
      </c>
      <c r="S218" s="8">
        <v>0.39345999999999998</v>
      </c>
      <c r="T218" s="9">
        <v>0.98480999999999996</v>
      </c>
      <c r="U218" s="24">
        <v>0.36874000000000001</v>
      </c>
    </row>
    <row r="219" spans="1:21" ht="12" customHeight="1" x14ac:dyDescent="0.25">
      <c r="A219" s="5">
        <v>443</v>
      </c>
      <c r="B219" s="19" t="s">
        <v>133</v>
      </c>
      <c r="C219" s="19" t="s">
        <v>12</v>
      </c>
      <c r="D219" s="5" t="s">
        <v>134</v>
      </c>
      <c r="E219" s="6">
        <v>367176.65178269998</v>
      </c>
      <c r="F219" s="6">
        <v>6548490.3336506998</v>
      </c>
      <c r="G219" s="7" t="str">
        <f>HYPERLINK("https://minkarta.lantmateriet.se/?e=367176,6517827&amp;n=6548490,3336507&amp;z=12&amp;profile=flygbildmedgranser&amp;background=2&amp;boundaries=true","Visa")</f>
        <v>Visa</v>
      </c>
      <c r="H219" s="5" t="s">
        <v>15</v>
      </c>
      <c r="I219" s="8">
        <v>38.632190000000001</v>
      </c>
      <c r="J219" s="9">
        <v>47.513170000000002</v>
      </c>
      <c r="K219" s="9">
        <v>48.967129999999997</v>
      </c>
      <c r="L219" s="14">
        <v>39.580080000000002</v>
      </c>
      <c r="M219" s="9">
        <v>48.012659999999997</v>
      </c>
      <c r="N219" s="9">
        <v>51.483319999999999</v>
      </c>
      <c r="O219" s="14">
        <v>40.319569999999999</v>
      </c>
      <c r="P219" s="9">
        <v>48.997480000000003</v>
      </c>
      <c r="Q219" s="9">
        <v>51.852060000000002</v>
      </c>
      <c r="R219" s="23">
        <v>42.00459</v>
      </c>
      <c r="S219" s="8">
        <v>0.73948999999999998</v>
      </c>
      <c r="T219" s="9">
        <v>0.98482000000000003</v>
      </c>
      <c r="U219" s="24">
        <v>0.36874000000000001</v>
      </c>
    </row>
    <row r="220" spans="1:21" ht="12" customHeight="1" x14ac:dyDescent="0.25">
      <c r="A220" s="5">
        <v>444</v>
      </c>
      <c r="B220" s="19" t="s">
        <v>135</v>
      </c>
      <c r="C220" s="19" t="s">
        <v>12</v>
      </c>
      <c r="D220" s="5" t="s">
        <v>136</v>
      </c>
      <c r="E220" s="6">
        <v>367208.46136586001</v>
      </c>
      <c r="F220" s="6">
        <v>6548481.4701365996</v>
      </c>
      <c r="G220" s="7" t="str">
        <f>HYPERLINK("https://minkarta.lantmateriet.se/?e=367208,46136586&amp;n=6548481,4701366&amp;z=12&amp;profile=flygbildmedgranser&amp;background=2&amp;boundaries=true","Visa")</f>
        <v>Visa</v>
      </c>
      <c r="H220" s="5" t="s">
        <v>15</v>
      </c>
      <c r="I220" s="8">
        <v>40.768889999999999</v>
      </c>
      <c r="J220" s="9">
        <v>53.348059999999997</v>
      </c>
      <c r="K220" s="9">
        <v>54.802030000000002</v>
      </c>
      <c r="L220" s="14">
        <v>41.72137</v>
      </c>
      <c r="M220" s="9">
        <v>53.847560000000001</v>
      </c>
      <c r="N220" s="9">
        <v>57.318219999999997</v>
      </c>
      <c r="O220" s="14">
        <v>42.324260000000002</v>
      </c>
      <c r="P220" s="9">
        <v>54.832380000000001</v>
      </c>
      <c r="Q220" s="9">
        <v>57.686950000000003</v>
      </c>
      <c r="R220" s="23">
        <v>38.541620000000002</v>
      </c>
      <c r="S220" s="8">
        <v>0.60289000000000004</v>
      </c>
      <c r="T220" s="9">
        <v>0.98482000000000003</v>
      </c>
      <c r="U220" s="24">
        <v>0.36873</v>
      </c>
    </row>
    <row r="221" spans="1:21" ht="12" customHeight="1" x14ac:dyDescent="0.25">
      <c r="A221" s="5">
        <v>445</v>
      </c>
      <c r="B221" s="19" t="s">
        <v>135</v>
      </c>
      <c r="C221" s="19" t="s">
        <v>12</v>
      </c>
      <c r="D221" s="5" t="s">
        <v>136</v>
      </c>
      <c r="E221" s="6">
        <v>367212.81086649001</v>
      </c>
      <c r="F221" s="6">
        <v>6548485.2488673003</v>
      </c>
      <c r="G221" s="7" t="str">
        <f>HYPERLINK("https://minkarta.lantmateriet.se/?e=367212,81086649&amp;n=6548485,2488673&amp;z=12&amp;profile=flygbildmedgranser&amp;background=2&amp;boundaries=true","Visa")</f>
        <v>Visa</v>
      </c>
      <c r="H221" s="5" t="s">
        <v>13</v>
      </c>
      <c r="I221" s="8">
        <v>36.405700000000003</v>
      </c>
      <c r="J221" s="9">
        <v>37.611260000000001</v>
      </c>
      <c r="K221" s="9">
        <v>39.065219999999997</v>
      </c>
      <c r="L221" s="14">
        <v>37.320189999999997</v>
      </c>
      <c r="M221" s="9">
        <v>38.110750000000003</v>
      </c>
      <c r="N221" s="9">
        <v>41.581409999999998</v>
      </c>
      <c r="O221" s="14">
        <v>37.554920000000003</v>
      </c>
      <c r="P221" s="9">
        <v>39.095570000000002</v>
      </c>
      <c r="Q221" s="9">
        <v>41.950150000000001</v>
      </c>
      <c r="R221" s="23">
        <v>27.125869999999999</v>
      </c>
      <c r="S221" s="8">
        <v>0.23472999999999999</v>
      </c>
      <c r="T221" s="9">
        <v>0.98482000000000003</v>
      </c>
      <c r="U221" s="24">
        <v>0.36874000000000001</v>
      </c>
    </row>
    <row r="222" spans="1:21" ht="12" customHeight="1" x14ac:dyDescent="0.25">
      <c r="A222" s="5">
        <v>446</v>
      </c>
      <c r="B222" s="19" t="s">
        <v>135</v>
      </c>
      <c r="C222" s="19" t="s">
        <v>12</v>
      </c>
      <c r="D222" s="5" t="s">
        <v>136</v>
      </c>
      <c r="E222" s="6">
        <v>367210.39263631002</v>
      </c>
      <c r="F222" s="6">
        <v>6548490.1493674004</v>
      </c>
      <c r="G222" s="7" t="str">
        <f>HYPERLINK("https://minkarta.lantmateriet.se/?e=367210,39263631&amp;n=6548490,1493674&amp;z=12&amp;profile=flygbildmedgranser&amp;background=2&amp;boundaries=true","Visa")</f>
        <v>Visa</v>
      </c>
      <c r="H222" s="5" t="s">
        <v>14</v>
      </c>
      <c r="I222" s="8">
        <v>36.056469999999997</v>
      </c>
      <c r="J222" s="9">
        <v>37.809469999999997</v>
      </c>
      <c r="K222" s="9">
        <v>39.338050000000003</v>
      </c>
      <c r="L222" s="14">
        <v>36.984859999999998</v>
      </c>
      <c r="M222" s="9">
        <v>38.238579999999999</v>
      </c>
      <c r="N222" s="9">
        <v>39.856549999999999</v>
      </c>
      <c r="O222" s="14">
        <v>37.236550000000001</v>
      </c>
      <c r="P222" s="9">
        <v>38.267029999999998</v>
      </c>
      <c r="Q222" s="9">
        <v>39.905619999999999</v>
      </c>
      <c r="R222" s="23">
        <v>24.204190000000001</v>
      </c>
      <c r="S222" s="8">
        <v>0.25169000000000002</v>
      </c>
      <c r="T222" s="9">
        <v>2.845E-2</v>
      </c>
      <c r="U222" s="24">
        <v>4.9070000000000003E-2</v>
      </c>
    </row>
    <row r="223" spans="1:21" ht="12" customHeight="1" x14ac:dyDescent="0.25">
      <c r="A223" s="5">
        <v>447</v>
      </c>
      <c r="B223" s="19" t="s">
        <v>135</v>
      </c>
      <c r="C223" s="19" t="s">
        <v>12</v>
      </c>
      <c r="D223" s="5" t="s">
        <v>136</v>
      </c>
      <c r="E223" s="6">
        <v>367207.57386707998</v>
      </c>
      <c r="F223" s="6">
        <v>6548492.5143708996</v>
      </c>
      <c r="G223" s="7" t="str">
        <f>HYPERLINK("https://minkarta.lantmateriet.se/?e=367207,57386708&amp;n=6548492,5143709&amp;z=12&amp;profile=flygbildmedgranser&amp;background=2&amp;boundaries=true","Visa")</f>
        <v>Visa</v>
      </c>
      <c r="H223" s="5" t="s">
        <v>13</v>
      </c>
      <c r="I223" s="8">
        <v>36.558889999999998</v>
      </c>
      <c r="J223" s="9">
        <v>39.027239999999999</v>
      </c>
      <c r="K223" s="9">
        <v>40.555819999999997</v>
      </c>
      <c r="L223" s="14">
        <v>37.489150000000002</v>
      </c>
      <c r="M223" s="9">
        <v>39.45635</v>
      </c>
      <c r="N223" s="9">
        <v>41.701520000000002</v>
      </c>
      <c r="O223" s="14">
        <v>37.736800000000002</v>
      </c>
      <c r="P223" s="9">
        <v>39.4848</v>
      </c>
      <c r="Q223" s="9">
        <v>42.070259999999998</v>
      </c>
      <c r="R223" s="23">
        <v>24.43676</v>
      </c>
      <c r="S223" s="8">
        <v>0.24765000000000001</v>
      </c>
      <c r="T223" s="9">
        <v>2.845E-2</v>
      </c>
      <c r="U223" s="24">
        <v>0.36874000000000001</v>
      </c>
    </row>
    <row r="224" spans="1:21" ht="12" customHeight="1" x14ac:dyDescent="0.25">
      <c r="A224" s="5">
        <v>448</v>
      </c>
      <c r="B224" s="19" t="s">
        <v>135</v>
      </c>
      <c r="C224" s="19" t="s">
        <v>12</v>
      </c>
      <c r="D224" s="5" t="s">
        <v>136</v>
      </c>
      <c r="E224" s="6">
        <v>367202.71313584002</v>
      </c>
      <c r="F224" s="6">
        <v>6548495.2378674997</v>
      </c>
      <c r="G224" s="7" t="str">
        <f>HYPERLINK("https://minkarta.lantmateriet.se/?e=367202,71313584&amp;n=6548495,2378675&amp;z=12&amp;profile=flygbildmedgranser&amp;background=2&amp;boundaries=true","Visa")</f>
        <v>Visa</v>
      </c>
      <c r="H224" s="5" t="s">
        <v>14</v>
      </c>
      <c r="I224" s="8">
        <v>36.571539999999999</v>
      </c>
      <c r="J224" s="9">
        <v>38.445349999999998</v>
      </c>
      <c r="K224" s="9">
        <v>39.973930000000003</v>
      </c>
      <c r="L224" s="14">
        <v>37.495019999999997</v>
      </c>
      <c r="M224" s="9">
        <v>38.874459999999999</v>
      </c>
      <c r="N224" s="9">
        <v>40.492420000000003</v>
      </c>
      <c r="O224" s="14">
        <v>37.781199999999998</v>
      </c>
      <c r="P224" s="9">
        <v>38.902909999999999</v>
      </c>
      <c r="Q224" s="9">
        <v>40.521740000000001</v>
      </c>
      <c r="R224" s="23">
        <v>29.56644</v>
      </c>
      <c r="S224" s="8">
        <v>0.28617999999999999</v>
      </c>
      <c r="T224" s="9">
        <v>2.845E-2</v>
      </c>
      <c r="U224" s="24">
        <v>2.9319999999999999E-2</v>
      </c>
    </row>
    <row r="225" spans="1:21" ht="12" customHeight="1" x14ac:dyDescent="0.25">
      <c r="A225" s="5">
        <v>449</v>
      </c>
      <c r="B225" s="19" t="s">
        <v>135</v>
      </c>
      <c r="C225" s="19" t="s">
        <v>12</v>
      </c>
      <c r="D225" s="5" t="s">
        <v>136</v>
      </c>
      <c r="E225" s="6">
        <v>367196.65813532</v>
      </c>
      <c r="F225" s="6">
        <v>6548490.7456355002</v>
      </c>
      <c r="G225" s="7" t="str">
        <f>HYPERLINK("https://minkarta.lantmateriet.se/?e=367196,65813532&amp;n=6548490,7456355&amp;z=12&amp;profile=flygbildmedgranser&amp;background=2&amp;boundaries=true","Visa")</f>
        <v>Visa</v>
      </c>
      <c r="H225" s="5" t="s">
        <v>16</v>
      </c>
      <c r="I225" s="8">
        <v>39.1935</v>
      </c>
      <c r="J225" s="9">
        <v>42.82978</v>
      </c>
      <c r="K225" s="9">
        <v>44.283740000000002</v>
      </c>
      <c r="L225" s="14">
        <v>40.123559999999998</v>
      </c>
      <c r="M225" s="9">
        <v>43.329279999999997</v>
      </c>
      <c r="N225" s="9">
        <v>46.799930000000003</v>
      </c>
      <c r="O225" s="14">
        <v>40.429540000000003</v>
      </c>
      <c r="P225" s="9">
        <v>44.31409</v>
      </c>
      <c r="Q225" s="9">
        <v>47.168669999999999</v>
      </c>
      <c r="R225" s="23">
        <v>35.455249999999999</v>
      </c>
      <c r="S225" s="8">
        <v>0.30597999999999997</v>
      </c>
      <c r="T225" s="9">
        <v>0.98480999999999996</v>
      </c>
      <c r="U225" s="24">
        <v>0.36874000000000001</v>
      </c>
    </row>
    <row r="226" spans="1:21" ht="12" customHeight="1" x14ac:dyDescent="0.25">
      <c r="A226" s="5">
        <v>451</v>
      </c>
      <c r="B226" s="19" t="s">
        <v>137</v>
      </c>
      <c r="C226" s="19" t="s">
        <v>12</v>
      </c>
      <c r="D226" s="5" t="s">
        <v>138</v>
      </c>
      <c r="E226" s="6">
        <v>367072.01786303002</v>
      </c>
      <c r="F226" s="6">
        <v>6548511.9863465996</v>
      </c>
      <c r="G226" s="7" t="str">
        <f>HYPERLINK("https://minkarta.lantmateriet.se/?e=367072,01786303&amp;n=6548511,9863466&amp;z=12&amp;profile=flygbildmedgranser&amp;background=2&amp;boundaries=true","Visa")</f>
        <v>Visa</v>
      </c>
      <c r="H226" s="5" t="s">
        <v>13</v>
      </c>
      <c r="I226" s="8">
        <v>36.988140000000001</v>
      </c>
      <c r="J226" s="9">
        <v>47.872489999999999</v>
      </c>
      <c r="K226" s="9">
        <v>49.326450000000001</v>
      </c>
      <c r="L226" s="14">
        <v>37.92877</v>
      </c>
      <c r="M226" s="9">
        <v>48.371980000000001</v>
      </c>
      <c r="N226" s="9">
        <v>51.842640000000003</v>
      </c>
      <c r="O226" s="14">
        <v>38.46405</v>
      </c>
      <c r="P226" s="9">
        <v>49.3568</v>
      </c>
      <c r="Q226" s="9">
        <v>52.211379999999998</v>
      </c>
      <c r="R226" s="23">
        <v>39.504069999999999</v>
      </c>
      <c r="S226" s="8">
        <v>0.53527999999999998</v>
      </c>
      <c r="T226" s="9">
        <v>0.98482000000000003</v>
      </c>
      <c r="U226" s="24">
        <v>0.36874000000000001</v>
      </c>
    </row>
    <row r="227" spans="1:21" ht="12" customHeight="1" x14ac:dyDescent="0.25">
      <c r="A227" s="5">
        <v>452</v>
      </c>
      <c r="B227" s="19" t="s">
        <v>137</v>
      </c>
      <c r="C227" s="19" t="s">
        <v>12</v>
      </c>
      <c r="D227" s="5" t="s">
        <v>138</v>
      </c>
      <c r="E227" s="6">
        <v>367067.09915741999</v>
      </c>
      <c r="F227" s="6">
        <v>6548518.5928638997</v>
      </c>
      <c r="G227" s="7" t="str">
        <f>HYPERLINK("https://minkarta.lantmateriet.se/?e=367067,09915742&amp;n=6548518,5928639&amp;z=12&amp;profile=flygbildmedgranser&amp;background=2&amp;boundaries=true","Visa")</f>
        <v>Visa</v>
      </c>
      <c r="H227" s="5" t="s">
        <v>14</v>
      </c>
      <c r="I227" s="8">
        <v>35.182690000000001</v>
      </c>
      <c r="J227" s="9">
        <v>37.78369</v>
      </c>
      <c r="K227" s="9">
        <v>39.352440000000001</v>
      </c>
      <c r="L227" s="14">
        <v>36.090890000000002</v>
      </c>
      <c r="M227" s="9">
        <v>38.240220000000001</v>
      </c>
      <c r="N227" s="9">
        <v>41.612319999999997</v>
      </c>
      <c r="O227" s="14">
        <v>36.296990000000001</v>
      </c>
      <c r="P227" s="9">
        <v>39.126480000000001</v>
      </c>
      <c r="Q227" s="9">
        <v>41.981059999999999</v>
      </c>
      <c r="R227" s="23">
        <v>37.626159999999999</v>
      </c>
      <c r="S227" s="8">
        <v>0.20610000000000001</v>
      </c>
      <c r="T227" s="9">
        <v>0.88626000000000005</v>
      </c>
      <c r="U227" s="24">
        <v>0.36874000000000001</v>
      </c>
    </row>
    <row r="228" spans="1:21" ht="12" customHeight="1" x14ac:dyDescent="0.25">
      <c r="A228" s="5">
        <v>453</v>
      </c>
      <c r="B228" s="19" t="s">
        <v>137</v>
      </c>
      <c r="C228" s="19" t="s">
        <v>12</v>
      </c>
      <c r="D228" s="5" t="s">
        <v>138</v>
      </c>
      <c r="E228" s="6">
        <v>367060.29263908998</v>
      </c>
      <c r="F228" s="6">
        <v>6548513.9551581005</v>
      </c>
      <c r="G228" s="7" t="str">
        <f>HYPERLINK("https://minkarta.lantmateriet.se/?e=367060,29263909&amp;n=6548513,9551581&amp;z=12&amp;profile=flygbildmedgranser&amp;background=2&amp;boundaries=true","Visa")</f>
        <v>Visa</v>
      </c>
      <c r="H228" s="5" t="s">
        <v>16</v>
      </c>
      <c r="I228" s="8">
        <v>40.449750000000002</v>
      </c>
      <c r="J228" s="9">
        <v>44.863289999999999</v>
      </c>
      <c r="K228" s="9">
        <v>46.317259999999997</v>
      </c>
      <c r="L228" s="14">
        <v>41.364780000000003</v>
      </c>
      <c r="M228" s="9">
        <v>45.362789999999997</v>
      </c>
      <c r="N228" s="9">
        <v>48.833449999999999</v>
      </c>
      <c r="O228" s="14">
        <v>41.651119999999999</v>
      </c>
      <c r="P228" s="9">
        <v>46.347610000000003</v>
      </c>
      <c r="Q228" s="9">
        <v>49.202179999999998</v>
      </c>
      <c r="R228" s="23">
        <v>42.731589999999997</v>
      </c>
      <c r="S228" s="8">
        <v>0.28633999999999998</v>
      </c>
      <c r="T228" s="9">
        <v>0.98482000000000003</v>
      </c>
      <c r="U228" s="24">
        <v>0.36873</v>
      </c>
    </row>
    <row r="229" spans="1:21" ht="12" customHeight="1" x14ac:dyDescent="0.25">
      <c r="A229" s="5">
        <v>454</v>
      </c>
      <c r="B229" s="19" t="s">
        <v>137</v>
      </c>
      <c r="C229" s="19" t="s">
        <v>12</v>
      </c>
      <c r="D229" s="5" t="s">
        <v>138</v>
      </c>
      <c r="E229" s="6">
        <v>367065.21134554001</v>
      </c>
      <c r="F229" s="6">
        <v>6548507.3486400004</v>
      </c>
      <c r="G229" s="7" t="str">
        <f>HYPERLINK("https://minkarta.lantmateriet.se/?e=367065,21134554&amp;n=6548507,34864&amp;z=12&amp;profile=flygbildmedgranser&amp;background=2&amp;boundaries=true","Visa")</f>
        <v>Visa</v>
      </c>
      <c r="H229" s="5" t="s">
        <v>15</v>
      </c>
      <c r="I229" s="8">
        <v>40.638240000000003</v>
      </c>
      <c r="J229" s="9">
        <v>52.168590000000002</v>
      </c>
      <c r="K229" s="9">
        <v>53.622549999999997</v>
      </c>
      <c r="L229" s="14">
        <v>41.577869999999997</v>
      </c>
      <c r="M229" s="9">
        <v>52.668080000000003</v>
      </c>
      <c r="N229" s="9">
        <v>56.138739999999999</v>
      </c>
      <c r="O229" s="14">
        <v>41.976529999999997</v>
      </c>
      <c r="P229" s="9">
        <v>53.652900000000002</v>
      </c>
      <c r="Q229" s="9">
        <v>56.507480000000001</v>
      </c>
      <c r="R229" s="23">
        <v>38.567990000000002</v>
      </c>
      <c r="S229" s="8">
        <v>0.39866000000000001</v>
      </c>
      <c r="T229" s="9">
        <v>0.98482000000000003</v>
      </c>
      <c r="U229" s="24">
        <v>0.36874000000000001</v>
      </c>
    </row>
    <row r="230" spans="1:21" ht="12" customHeight="1" x14ac:dyDescent="0.25">
      <c r="A230" s="5">
        <v>455</v>
      </c>
      <c r="B230" s="19" t="s">
        <v>139</v>
      </c>
      <c r="C230" s="19" t="s">
        <v>12</v>
      </c>
      <c r="D230" s="5" t="s">
        <v>140</v>
      </c>
      <c r="E230" s="6">
        <v>367038.62182901998</v>
      </c>
      <c r="F230" s="6">
        <v>6548518.9356605001</v>
      </c>
      <c r="G230" s="7" t="str">
        <f>HYPERLINK("https://minkarta.lantmateriet.se/?e=367038,62182902&amp;n=6548518,9356605&amp;z=12&amp;profile=flygbildmedgranser&amp;background=2&amp;boundaries=true","Visa")</f>
        <v>Visa</v>
      </c>
      <c r="H230" s="5" t="s">
        <v>11</v>
      </c>
      <c r="I230" s="8">
        <v>42.626280000000001</v>
      </c>
      <c r="J230" s="9">
        <v>53.839419999999997</v>
      </c>
      <c r="K230" s="9">
        <v>55.293390000000002</v>
      </c>
      <c r="L230" s="14">
        <v>43.549790000000002</v>
      </c>
      <c r="M230" s="9">
        <v>54.338920000000002</v>
      </c>
      <c r="N230" s="9">
        <v>57.809579999999997</v>
      </c>
      <c r="O230" s="14">
        <v>44.166679999999999</v>
      </c>
      <c r="P230" s="9">
        <v>55.323740000000001</v>
      </c>
      <c r="Q230" s="9">
        <v>58.178310000000003</v>
      </c>
      <c r="R230" s="23">
        <v>42.544609999999999</v>
      </c>
      <c r="S230" s="8">
        <v>0.61689000000000005</v>
      </c>
      <c r="T230" s="9">
        <v>0.98482000000000003</v>
      </c>
      <c r="U230" s="24">
        <v>0.36873</v>
      </c>
    </row>
    <row r="231" spans="1:21" ht="12" customHeight="1" x14ac:dyDescent="0.25">
      <c r="A231" s="5">
        <v>456</v>
      </c>
      <c r="B231" s="19" t="s">
        <v>139</v>
      </c>
      <c r="C231" s="19" t="s">
        <v>12</v>
      </c>
      <c r="D231" s="5" t="s">
        <v>140</v>
      </c>
      <c r="E231" s="6">
        <v>367046.07434277999</v>
      </c>
      <c r="F231" s="6">
        <v>6548520.8983305003</v>
      </c>
      <c r="G231" s="7" t="str">
        <f>HYPERLINK("https://minkarta.lantmateriet.se/?e=367046,07434278&amp;n=6548520,8983305&amp;z=12&amp;profile=flygbildmedgranser&amp;background=2&amp;boundaries=true","Visa")</f>
        <v>Visa</v>
      </c>
      <c r="H231" s="5" t="s">
        <v>8</v>
      </c>
      <c r="I231" s="8">
        <v>41.18591</v>
      </c>
      <c r="J231" s="9">
        <v>53.345700000000001</v>
      </c>
      <c r="K231" s="9">
        <v>54.799660000000003</v>
      </c>
      <c r="L231" s="14">
        <v>42.12039</v>
      </c>
      <c r="M231" s="9">
        <v>53.845190000000002</v>
      </c>
      <c r="N231" s="9">
        <v>57.315849999999998</v>
      </c>
      <c r="O231" s="14">
        <v>42.500689999999999</v>
      </c>
      <c r="P231" s="9">
        <v>54.830010000000001</v>
      </c>
      <c r="Q231" s="9">
        <v>57.68459</v>
      </c>
      <c r="R231" s="23">
        <v>38.686480000000003</v>
      </c>
      <c r="S231" s="8">
        <v>0.38030000000000003</v>
      </c>
      <c r="T231" s="9">
        <v>0.98482000000000003</v>
      </c>
      <c r="U231" s="24">
        <v>0.36874000000000001</v>
      </c>
    </row>
    <row r="232" spans="1:21" ht="12" customHeight="1" x14ac:dyDescent="0.25">
      <c r="A232" s="5">
        <v>457</v>
      </c>
      <c r="B232" s="19" t="s">
        <v>139</v>
      </c>
      <c r="C232" s="19" t="s">
        <v>12</v>
      </c>
      <c r="D232" s="5" t="s">
        <v>140</v>
      </c>
      <c r="E232" s="6">
        <v>367043.49667333998</v>
      </c>
      <c r="F232" s="6">
        <v>6548528.1613432998</v>
      </c>
      <c r="G232" s="7" t="str">
        <f>HYPERLINK("https://minkarta.lantmateriet.se/?e=367043,49667334&amp;n=6548528,1613433&amp;z=12&amp;profile=flygbildmedgranser&amp;background=2&amp;boundaries=true","Visa")</f>
        <v>Visa</v>
      </c>
      <c r="H232" s="5" t="s">
        <v>9</v>
      </c>
      <c r="I232" s="8">
        <v>36.817349999999998</v>
      </c>
      <c r="J232" s="9">
        <v>39.05068</v>
      </c>
      <c r="K232" s="9">
        <v>40.619430000000001</v>
      </c>
      <c r="L232" s="14">
        <v>37.727490000000003</v>
      </c>
      <c r="M232" s="9">
        <v>39.507210000000001</v>
      </c>
      <c r="N232" s="9">
        <v>41.124929999999999</v>
      </c>
      <c r="O232" s="14">
        <v>37.959679999999999</v>
      </c>
      <c r="P232" s="9">
        <v>39.538290000000003</v>
      </c>
      <c r="Q232" s="9">
        <v>41.154530000000001</v>
      </c>
      <c r="R232" s="23">
        <v>39.655000000000001</v>
      </c>
      <c r="S232" s="8">
        <v>0.23219000000000001</v>
      </c>
      <c r="T232" s="9">
        <v>3.108E-2</v>
      </c>
      <c r="U232" s="24">
        <v>2.9600000000000001E-2</v>
      </c>
    </row>
    <row r="233" spans="1:21" ht="12" customHeight="1" x14ac:dyDescent="0.25">
      <c r="A233" s="5">
        <v>458</v>
      </c>
      <c r="B233" s="19" t="s">
        <v>139</v>
      </c>
      <c r="C233" s="19" t="s">
        <v>12</v>
      </c>
      <c r="D233" s="5" t="s">
        <v>140</v>
      </c>
      <c r="E233" s="6">
        <v>367036.04415962001</v>
      </c>
      <c r="F233" s="6">
        <v>6548526.1986742998</v>
      </c>
      <c r="G233" s="7" t="str">
        <f>HYPERLINK("https://minkarta.lantmateriet.se/?e=367036,04415962&amp;n=6548526,1986743&amp;z=12&amp;profile=flygbildmedgranser&amp;background=2&amp;boundaries=true","Visa")</f>
        <v>Visa</v>
      </c>
      <c r="H233" s="5" t="s">
        <v>10</v>
      </c>
      <c r="I233" s="8">
        <v>41.82403</v>
      </c>
      <c r="J233" s="9">
        <v>54.605379999999997</v>
      </c>
      <c r="K233" s="9">
        <v>56.059350000000002</v>
      </c>
      <c r="L233" s="14">
        <v>42.729570000000002</v>
      </c>
      <c r="M233" s="9">
        <v>55.104880000000001</v>
      </c>
      <c r="N233" s="9">
        <v>58.575539999999997</v>
      </c>
      <c r="O233" s="14">
        <v>43.441270000000003</v>
      </c>
      <c r="P233" s="9">
        <v>56.089700000000001</v>
      </c>
      <c r="Q233" s="9">
        <v>58.944270000000003</v>
      </c>
      <c r="R233" s="23">
        <v>43.042659999999998</v>
      </c>
      <c r="S233" s="8">
        <v>0.7117</v>
      </c>
      <c r="T233" s="9">
        <v>0.98482000000000003</v>
      </c>
      <c r="U233" s="24">
        <v>0.36873</v>
      </c>
    </row>
    <row r="234" spans="1:21" ht="12" customHeight="1" x14ac:dyDescent="0.25">
      <c r="A234" s="5">
        <v>459</v>
      </c>
      <c r="B234" s="19" t="s">
        <v>141</v>
      </c>
      <c r="C234" s="19" t="s">
        <v>12</v>
      </c>
      <c r="D234" s="5" t="s">
        <v>142</v>
      </c>
      <c r="E234" s="6">
        <v>367015.23276684002</v>
      </c>
      <c r="F234" s="6">
        <v>6548531.3956936002</v>
      </c>
      <c r="G234" s="7" t="str">
        <f>HYPERLINK("https://minkarta.lantmateriet.se/?e=367015,23276684&amp;n=6548531,3956936&amp;z=12&amp;profile=flygbildmedgranser&amp;background=2&amp;boundaries=true","Visa")</f>
        <v>Visa</v>
      </c>
      <c r="H234" s="5" t="s">
        <v>11</v>
      </c>
      <c r="I234" s="8">
        <v>43.670200000000001</v>
      </c>
      <c r="J234" s="9">
        <v>56.32358</v>
      </c>
      <c r="K234" s="9">
        <v>57.777540000000002</v>
      </c>
      <c r="L234" s="14">
        <v>44.600349999999999</v>
      </c>
      <c r="M234" s="9">
        <v>56.823070000000001</v>
      </c>
      <c r="N234" s="9">
        <v>60.293729999999996</v>
      </c>
      <c r="O234" s="14">
        <v>45.538249999999998</v>
      </c>
      <c r="P234" s="9">
        <v>57.80789</v>
      </c>
      <c r="Q234" s="9">
        <v>60.662469999999999</v>
      </c>
      <c r="R234" s="23">
        <v>42.569809999999997</v>
      </c>
      <c r="S234" s="8">
        <v>0.93789999999999996</v>
      </c>
      <c r="T234" s="9">
        <v>0.98482000000000003</v>
      </c>
      <c r="U234" s="24">
        <v>0.36874000000000001</v>
      </c>
    </row>
    <row r="235" spans="1:21" ht="12" customHeight="1" x14ac:dyDescent="0.25">
      <c r="A235" s="5">
        <v>460</v>
      </c>
      <c r="B235" s="19" t="s">
        <v>141</v>
      </c>
      <c r="C235" s="19" t="s">
        <v>12</v>
      </c>
      <c r="D235" s="5" t="s">
        <v>142</v>
      </c>
      <c r="E235" s="6">
        <v>367022.88930881</v>
      </c>
      <c r="F235" s="6">
        <v>6548533.2797667999</v>
      </c>
      <c r="G235" s="7" t="str">
        <f>HYPERLINK("https://minkarta.lantmateriet.se/?e=367022,88930881&amp;n=6548533,2797668&amp;z=12&amp;profile=flygbildmedgranser&amp;background=2&amp;boundaries=true","Visa")</f>
        <v>Visa</v>
      </c>
      <c r="H235" s="5" t="s">
        <v>8</v>
      </c>
      <c r="I235" s="8">
        <v>42.20308</v>
      </c>
      <c r="J235" s="9">
        <v>55.23151</v>
      </c>
      <c r="K235" s="9">
        <v>56.685479999999998</v>
      </c>
      <c r="L235" s="14">
        <v>43.114640000000001</v>
      </c>
      <c r="M235" s="9">
        <v>55.731009999999998</v>
      </c>
      <c r="N235" s="9">
        <v>59.20167</v>
      </c>
      <c r="O235" s="14">
        <v>43.566989999999997</v>
      </c>
      <c r="P235" s="9">
        <v>56.715829999999997</v>
      </c>
      <c r="Q235" s="9">
        <v>59.570399999999999</v>
      </c>
      <c r="R235" s="23">
        <v>32.136029999999998</v>
      </c>
      <c r="S235" s="8">
        <v>0.45234999999999997</v>
      </c>
      <c r="T235" s="9">
        <v>0.98482000000000003</v>
      </c>
      <c r="U235" s="24">
        <v>0.36873</v>
      </c>
    </row>
    <row r="236" spans="1:21" ht="12" customHeight="1" x14ac:dyDescent="0.25">
      <c r="A236" s="5">
        <v>461</v>
      </c>
      <c r="B236" s="19" t="s">
        <v>141</v>
      </c>
      <c r="C236" s="19" t="s">
        <v>12</v>
      </c>
      <c r="D236" s="5" t="s">
        <v>142</v>
      </c>
      <c r="E236" s="6">
        <v>367020.23673546</v>
      </c>
      <c r="F236" s="6">
        <v>6548540.7048102003</v>
      </c>
      <c r="G236" s="7" t="str">
        <f>HYPERLINK("https://minkarta.lantmateriet.se/?e=367020,23673546&amp;n=6548540,7048102&amp;z=12&amp;profile=flygbildmedgranser&amp;background=2&amp;boundaries=true","Visa")</f>
        <v>Visa</v>
      </c>
      <c r="H236" s="5" t="s">
        <v>9</v>
      </c>
      <c r="I236" s="8">
        <v>37.635579999999997</v>
      </c>
      <c r="J236" s="9">
        <v>39.484400000000001</v>
      </c>
      <c r="K236" s="9">
        <v>41.053150000000002</v>
      </c>
      <c r="L236" s="14">
        <v>38.550910000000002</v>
      </c>
      <c r="M236" s="9">
        <v>39.940930000000002</v>
      </c>
      <c r="N236" s="9">
        <v>41.55865</v>
      </c>
      <c r="O236" s="14">
        <v>39.112650000000002</v>
      </c>
      <c r="P236" s="9">
        <v>39.972009999999997</v>
      </c>
      <c r="Q236" s="9">
        <v>41.588250000000002</v>
      </c>
      <c r="R236" s="23">
        <v>38.926459999999999</v>
      </c>
      <c r="S236" s="8">
        <v>0.56174000000000002</v>
      </c>
      <c r="T236" s="9">
        <v>3.108E-2</v>
      </c>
      <c r="U236" s="24">
        <v>2.9600000000000001E-2</v>
      </c>
    </row>
    <row r="237" spans="1:21" ht="12" customHeight="1" x14ac:dyDescent="0.25">
      <c r="A237" s="5">
        <v>462</v>
      </c>
      <c r="B237" s="19" t="s">
        <v>141</v>
      </c>
      <c r="C237" s="19" t="s">
        <v>12</v>
      </c>
      <c r="D237" s="5" t="s">
        <v>142</v>
      </c>
      <c r="E237" s="6">
        <v>367012.58019258</v>
      </c>
      <c r="F237" s="6">
        <v>6548538.8207361</v>
      </c>
      <c r="G237" s="7" t="str">
        <f>HYPERLINK("https://minkarta.lantmateriet.se/?e=367012,58019258&amp;n=6548538,8207361&amp;z=12&amp;profile=flygbildmedgranser&amp;background=2&amp;boundaries=true","Visa")</f>
        <v>Visa</v>
      </c>
      <c r="H237" s="5" t="s">
        <v>10</v>
      </c>
      <c r="I237" s="8">
        <v>41.755040000000001</v>
      </c>
      <c r="J237" s="9">
        <v>55.284610000000001</v>
      </c>
      <c r="K237" s="9">
        <v>56.738570000000003</v>
      </c>
      <c r="L237" s="14">
        <v>42.681289999999997</v>
      </c>
      <c r="M237" s="9">
        <v>55.784109999999998</v>
      </c>
      <c r="N237" s="9">
        <v>59.254759999999997</v>
      </c>
      <c r="O237" s="14">
        <v>43.764000000000003</v>
      </c>
      <c r="P237" s="9">
        <v>56.768920000000001</v>
      </c>
      <c r="Q237" s="9">
        <v>59.6235</v>
      </c>
      <c r="R237" s="23">
        <v>44.292810000000003</v>
      </c>
      <c r="S237" s="8">
        <v>1.0827100000000001</v>
      </c>
      <c r="T237" s="9">
        <v>0.98480999999999996</v>
      </c>
      <c r="U237" s="24">
        <v>0.36874000000000001</v>
      </c>
    </row>
    <row r="238" spans="1:21" ht="12" customHeight="1" x14ac:dyDescent="0.25">
      <c r="A238" s="5">
        <v>463</v>
      </c>
      <c r="B238" s="19" t="s">
        <v>143</v>
      </c>
      <c r="C238" s="19" t="s">
        <v>12</v>
      </c>
      <c r="D238" s="5" t="s">
        <v>144</v>
      </c>
      <c r="E238" s="6">
        <v>366989.89460104</v>
      </c>
      <c r="F238" s="6">
        <v>6548539.2860976998</v>
      </c>
      <c r="G238" s="7" t="str">
        <f>HYPERLINK("https://minkarta.lantmateriet.se/?e=366989,89460104&amp;n=6548539,2860977&amp;z=12&amp;profile=flygbildmedgranser&amp;background=2&amp;boundaries=true","Visa")</f>
        <v>Visa</v>
      </c>
      <c r="H238" s="5" t="s">
        <v>15</v>
      </c>
      <c r="I238" s="8">
        <v>44.987310000000001</v>
      </c>
      <c r="J238" s="9">
        <v>58.778590000000001</v>
      </c>
      <c r="K238" s="9">
        <v>60.232559999999999</v>
      </c>
      <c r="L238" s="14">
        <v>45.923020000000001</v>
      </c>
      <c r="M238" s="9">
        <v>59.278089999999999</v>
      </c>
      <c r="N238" s="9">
        <v>62.748750000000001</v>
      </c>
      <c r="O238" s="14">
        <v>46.935859999999998</v>
      </c>
      <c r="P238" s="9">
        <v>60.262909999999998</v>
      </c>
      <c r="Q238" s="9">
        <v>63.11748</v>
      </c>
      <c r="R238" s="23">
        <v>46.252839999999999</v>
      </c>
      <c r="S238" s="8">
        <v>1.01284</v>
      </c>
      <c r="T238" s="9">
        <v>0.98482000000000003</v>
      </c>
      <c r="U238" s="24">
        <v>0.36873</v>
      </c>
    </row>
    <row r="239" spans="1:21" ht="12" customHeight="1" x14ac:dyDescent="0.25">
      <c r="A239" s="5">
        <v>464</v>
      </c>
      <c r="B239" s="19" t="s">
        <v>143</v>
      </c>
      <c r="C239" s="19" t="s">
        <v>12</v>
      </c>
      <c r="D239" s="5" t="s">
        <v>144</v>
      </c>
      <c r="E239" s="6">
        <v>366997.58088790003</v>
      </c>
      <c r="F239" s="6">
        <v>6548540.5165544003</v>
      </c>
      <c r="G239" s="7" t="str">
        <f>HYPERLINK("https://minkarta.lantmateriet.se/?e=366997,5808879&amp;n=6548540,5165544&amp;z=12&amp;profile=flygbildmedgranser&amp;background=2&amp;boundaries=true","Visa")</f>
        <v>Visa</v>
      </c>
      <c r="H239" s="5" t="s">
        <v>13</v>
      </c>
      <c r="I239" s="8">
        <v>40.422049999999999</v>
      </c>
      <c r="J239" s="9">
        <v>55.210180000000001</v>
      </c>
      <c r="K239" s="9">
        <v>56.664149999999999</v>
      </c>
      <c r="L239" s="14">
        <v>41.363939999999999</v>
      </c>
      <c r="M239" s="9">
        <v>55.709679999999999</v>
      </c>
      <c r="N239" s="9">
        <v>59.180340000000001</v>
      </c>
      <c r="O239" s="14">
        <v>41.942259999999997</v>
      </c>
      <c r="P239" s="9">
        <v>56.694499999999998</v>
      </c>
      <c r="Q239" s="9">
        <v>59.54907</v>
      </c>
      <c r="R239" s="23">
        <v>35.20796</v>
      </c>
      <c r="S239" s="8">
        <v>0.57831999999999995</v>
      </c>
      <c r="T239" s="9">
        <v>0.98482000000000003</v>
      </c>
      <c r="U239" s="24">
        <v>0.36873</v>
      </c>
    </row>
    <row r="240" spans="1:21" ht="12" customHeight="1" x14ac:dyDescent="0.25">
      <c r="A240" s="5">
        <v>465</v>
      </c>
      <c r="B240" s="19" t="s">
        <v>143</v>
      </c>
      <c r="C240" s="19" t="s">
        <v>12</v>
      </c>
      <c r="D240" s="5" t="s">
        <v>144</v>
      </c>
      <c r="E240" s="6">
        <v>366995.11495260999</v>
      </c>
      <c r="F240" s="6">
        <v>6548545.4408873999</v>
      </c>
      <c r="G240" s="7" t="str">
        <f>HYPERLINK("https://minkarta.lantmateriet.se/?e=366995,11495261&amp;n=6548545,4408874&amp;z=12&amp;profile=flygbildmedgranser&amp;background=2&amp;boundaries=true","Visa")</f>
        <v>Visa</v>
      </c>
      <c r="H240" s="5" t="s">
        <v>14</v>
      </c>
      <c r="I240" s="8">
        <v>38.370930000000001</v>
      </c>
      <c r="J240" s="9">
        <v>40.35078</v>
      </c>
      <c r="K240" s="9">
        <v>41.804740000000002</v>
      </c>
      <c r="L240" s="14">
        <v>39.287730000000003</v>
      </c>
      <c r="M240" s="9">
        <v>40.850279999999998</v>
      </c>
      <c r="N240" s="9">
        <v>44.320929999999997</v>
      </c>
      <c r="O240" s="14">
        <v>39.879779999999997</v>
      </c>
      <c r="P240" s="9">
        <v>41.835090000000001</v>
      </c>
      <c r="Q240" s="9">
        <v>44.68967</v>
      </c>
      <c r="R240" s="23">
        <v>33.985500000000002</v>
      </c>
      <c r="S240" s="8">
        <v>0.59204999999999997</v>
      </c>
      <c r="T240" s="9">
        <v>0.98480999999999996</v>
      </c>
      <c r="U240" s="24">
        <v>0.36874000000000001</v>
      </c>
    </row>
    <row r="241" spans="1:21" ht="12" customHeight="1" x14ac:dyDescent="0.25">
      <c r="A241" s="5">
        <v>466</v>
      </c>
      <c r="B241" s="19" t="s">
        <v>143</v>
      </c>
      <c r="C241" s="19" t="s">
        <v>12</v>
      </c>
      <c r="D241" s="5" t="s">
        <v>144</v>
      </c>
      <c r="E241" s="6">
        <v>366991.88790413999</v>
      </c>
      <c r="F241" s="6">
        <v>6548548.2560989</v>
      </c>
      <c r="G241" s="7" t="str">
        <f>HYPERLINK("https://minkarta.lantmateriet.se/?e=366991,88790414&amp;n=6548548,2560989&amp;z=12&amp;profile=flygbildmedgranser&amp;background=2&amp;boundaries=true","Visa")</f>
        <v>Visa</v>
      </c>
      <c r="H241" s="5" t="s">
        <v>13</v>
      </c>
      <c r="I241" s="8">
        <v>37.616520000000001</v>
      </c>
      <c r="J241" s="9">
        <v>38.82911</v>
      </c>
      <c r="K241" s="9">
        <v>40.397860000000001</v>
      </c>
      <c r="L241" s="14">
        <v>38.536960000000001</v>
      </c>
      <c r="M241" s="9">
        <v>39.285640000000001</v>
      </c>
      <c r="N241" s="9">
        <v>40.903359999999999</v>
      </c>
      <c r="O241" s="14">
        <v>39.133270000000003</v>
      </c>
      <c r="P241" s="9">
        <v>39.316719999999997</v>
      </c>
      <c r="Q241" s="9">
        <v>40.932960000000001</v>
      </c>
      <c r="R241" s="23">
        <v>32.398359999999997</v>
      </c>
      <c r="S241" s="8">
        <v>0.59631000000000001</v>
      </c>
      <c r="T241" s="9">
        <v>3.108E-2</v>
      </c>
      <c r="U241" s="24">
        <v>2.9600000000000001E-2</v>
      </c>
    </row>
    <row r="242" spans="1:21" ht="12" customHeight="1" x14ac:dyDescent="0.25">
      <c r="A242" s="5">
        <v>467</v>
      </c>
      <c r="B242" s="19" t="s">
        <v>143</v>
      </c>
      <c r="C242" s="19" t="s">
        <v>12</v>
      </c>
      <c r="D242" s="5" t="s">
        <v>144</v>
      </c>
      <c r="E242" s="6">
        <v>366988.05939766002</v>
      </c>
      <c r="F242" s="6">
        <v>6548551.2849075003</v>
      </c>
      <c r="G242" s="7" t="str">
        <f>HYPERLINK("https://minkarta.lantmateriet.se/?e=366988,05939766&amp;n=6548551,2849075&amp;z=12&amp;profile=flygbildmedgranser&amp;background=2&amp;boundaries=true","Visa")</f>
        <v>Visa</v>
      </c>
      <c r="H242" s="5" t="s">
        <v>14</v>
      </c>
      <c r="I242" s="8">
        <v>38.590620000000001</v>
      </c>
      <c r="J242" s="9">
        <v>41.668149999999997</v>
      </c>
      <c r="K242" s="9">
        <v>43.236899999999999</v>
      </c>
      <c r="L242" s="14">
        <v>39.507390000000001</v>
      </c>
      <c r="M242" s="9">
        <v>42.124679999999998</v>
      </c>
      <c r="N242" s="9">
        <v>43.742400000000004</v>
      </c>
      <c r="O242" s="14">
        <v>40.056420000000003</v>
      </c>
      <c r="P242" s="9">
        <v>42.155760000000001</v>
      </c>
      <c r="Q242" s="9">
        <v>43.771999999999998</v>
      </c>
      <c r="R242" s="23">
        <v>35.611499999999999</v>
      </c>
      <c r="S242" s="8">
        <v>0.54903000000000002</v>
      </c>
      <c r="T242" s="9">
        <v>3.108E-2</v>
      </c>
      <c r="U242" s="24">
        <v>2.9600000000000001E-2</v>
      </c>
    </row>
    <row r="243" spans="1:21" ht="12" customHeight="1" x14ac:dyDescent="0.25">
      <c r="A243" s="5">
        <v>468</v>
      </c>
      <c r="B243" s="19" t="s">
        <v>143</v>
      </c>
      <c r="C243" s="19" t="s">
        <v>12</v>
      </c>
      <c r="D243" s="5" t="s">
        <v>144</v>
      </c>
      <c r="E243" s="6">
        <v>366982.32509662001</v>
      </c>
      <c r="F243" s="6">
        <v>6548549.0434017004</v>
      </c>
      <c r="G243" s="7" t="str">
        <f>HYPERLINK("https://minkarta.lantmateriet.se/?e=366982,32509662&amp;n=6548549,0434017&amp;z=12&amp;profile=flygbildmedgranser&amp;background=2&amp;boundaries=true","Visa")</f>
        <v>Visa</v>
      </c>
      <c r="H243" s="5" t="s">
        <v>16</v>
      </c>
      <c r="I243" s="8">
        <v>47.323689999999999</v>
      </c>
      <c r="J243" s="9">
        <v>59.231009999999998</v>
      </c>
      <c r="K243" s="9">
        <v>60.68497</v>
      </c>
      <c r="L243" s="14">
        <v>48.266579999999998</v>
      </c>
      <c r="M243" s="9">
        <v>59.730510000000002</v>
      </c>
      <c r="N243" s="9">
        <v>63.201160000000002</v>
      </c>
      <c r="O243" s="14">
        <v>49.567300000000003</v>
      </c>
      <c r="P243" s="9">
        <v>60.715319999999998</v>
      </c>
      <c r="Q243" s="9">
        <v>63.569899999999997</v>
      </c>
      <c r="R243" s="23">
        <v>43.718679999999999</v>
      </c>
      <c r="S243" s="8">
        <v>1.3007200000000001</v>
      </c>
      <c r="T243" s="9">
        <v>0.98480999999999996</v>
      </c>
      <c r="U243" s="24">
        <v>0.36874000000000001</v>
      </c>
    </row>
    <row r="244" spans="1:21" ht="12" customHeight="1" x14ac:dyDescent="0.25">
      <c r="A244" s="5">
        <v>469</v>
      </c>
      <c r="B244" s="19" t="s">
        <v>143</v>
      </c>
      <c r="C244" s="19" t="s">
        <v>12</v>
      </c>
      <c r="D244" s="5" t="s">
        <v>144</v>
      </c>
      <c r="E244" s="6">
        <v>366982.67310314003</v>
      </c>
      <c r="F244" s="6">
        <v>6548544.6050969996</v>
      </c>
      <c r="G244" s="7" t="str">
        <f>HYPERLINK("https://minkarta.lantmateriet.se/?e=366982,67310314&amp;n=6548544,605097&amp;z=12&amp;profile=flygbildmedgranser&amp;background=2&amp;boundaries=true","Visa")</f>
        <v>Visa</v>
      </c>
      <c r="H244" s="5" t="s">
        <v>15</v>
      </c>
      <c r="I244" s="8">
        <v>48.285040000000002</v>
      </c>
      <c r="J244" s="9">
        <v>59.58963</v>
      </c>
      <c r="K244" s="9">
        <v>61.043590000000002</v>
      </c>
      <c r="L244" s="14">
        <v>49.232509999999998</v>
      </c>
      <c r="M244" s="9">
        <v>60.089129999999997</v>
      </c>
      <c r="N244" s="9">
        <v>63.559780000000003</v>
      </c>
      <c r="O244" s="14">
        <v>50.411529999999999</v>
      </c>
      <c r="P244" s="9">
        <v>61.07394</v>
      </c>
      <c r="Q244" s="9">
        <v>63.928519999999999</v>
      </c>
      <c r="R244" s="23">
        <v>45.83202</v>
      </c>
      <c r="S244" s="8">
        <v>1.17902</v>
      </c>
      <c r="T244" s="9">
        <v>0.98480999999999996</v>
      </c>
      <c r="U244" s="24">
        <v>0.36874000000000001</v>
      </c>
    </row>
    <row r="245" spans="1:21" ht="12" customHeight="1" x14ac:dyDescent="0.25">
      <c r="A245" s="5">
        <v>470</v>
      </c>
      <c r="B245" s="19" t="s">
        <v>143</v>
      </c>
      <c r="C245" s="19" t="s">
        <v>12</v>
      </c>
      <c r="D245" s="5" t="s">
        <v>144</v>
      </c>
      <c r="E245" s="6">
        <v>366983.94810662</v>
      </c>
      <c r="F245" s="6">
        <v>6548542.8009291999</v>
      </c>
      <c r="G245" s="7" t="str">
        <f>HYPERLINK("https://minkarta.lantmateriet.se/?e=366983,94810662&amp;n=6548542,8009292&amp;z=12&amp;profile=flygbildmedgranser&amp;background=2&amp;boundaries=true","Visa")</f>
        <v>Visa</v>
      </c>
      <c r="H245" s="5" t="s">
        <v>16</v>
      </c>
      <c r="I245" s="8">
        <v>46.991509999999998</v>
      </c>
      <c r="J245" s="9">
        <v>61.936680000000003</v>
      </c>
      <c r="K245" s="9">
        <v>63.390639999999998</v>
      </c>
      <c r="L245" s="14">
        <v>47.956229999999998</v>
      </c>
      <c r="M245" s="9">
        <v>62.436169999999997</v>
      </c>
      <c r="N245" s="9">
        <v>65.906829999999999</v>
      </c>
      <c r="O245" s="14">
        <v>49.185070000000003</v>
      </c>
      <c r="P245" s="9">
        <v>63.420990000000003</v>
      </c>
      <c r="Q245" s="9">
        <v>66.275570000000002</v>
      </c>
      <c r="R245" s="23">
        <v>46.140860000000004</v>
      </c>
      <c r="S245" s="8">
        <v>1.2288399999999999</v>
      </c>
      <c r="T245" s="9">
        <v>0.98482000000000003</v>
      </c>
      <c r="U245" s="24">
        <v>0.36874000000000001</v>
      </c>
    </row>
    <row r="246" spans="1:21" ht="12" customHeight="1" x14ac:dyDescent="0.25">
      <c r="A246" s="5">
        <v>471</v>
      </c>
      <c r="B246" s="19" t="s">
        <v>145</v>
      </c>
      <c r="C246" s="19" t="s">
        <v>12</v>
      </c>
      <c r="D246" s="5" t="s">
        <v>146</v>
      </c>
      <c r="E246" s="6">
        <v>366972.53646822</v>
      </c>
      <c r="F246" s="6">
        <v>6548555.8107815003</v>
      </c>
      <c r="G246" s="7" t="str">
        <f>HYPERLINK("https://minkarta.lantmateriet.se/?e=366972,53646822&amp;n=6548555,8107815&amp;z=12&amp;profile=flygbildmedgranser&amp;background=2&amp;boundaries=true","Visa")</f>
        <v>Visa</v>
      </c>
      <c r="H246" s="5" t="s">
        <v>13</v>
      </c>
      <c r="I246" s="8">
        <v>41.360840000000003</v>
      </c>
      <c r="J246" s="9">
        <v>52.612290000000002</v>
      </c>
      <c r="K246" s="9">
        <v>54.066249999999997</v>
      </c>
      <c r="L246" s="14">
        <v>42.293529999999997</v>
      </c>
      <c r="M246" s="9">
        <v>53.111789999999999</v>
      </c>
      <c r="N246" s="9">
        <v>56.582439999999998</v>
      </c>
      <c r="O246" s="14">
        <v>43.088590000000003</v>
      </c>
      <c r="P246" s="9">
        <v>54.096600000000002</v>
      </c>
      <c r="Q246" s="9">
        <v>56.951180000000001</v>
      </c>
      <c r="R246" s="23">
        <v>41.653410000000001</v>
      </c>
      <c r="S246" s="8">
        <v>0.79505999999999999</v>
      </c>
      <c r="T246" s="9">
        <v>0.98480999999999996</v>
      </c>
      <c r="U246" s="24">
        <v>0.36874000000000001</v>
      </c>
    </row>
    <row r="247" spans="1:21" ht="12" customHeight="1" x14ac:dyDescent="0.25">
      <c r="A247" s="5">
        <v>472</v>
      </c>
      <c r="B247" s="19" t="s">
        <v>145</v>
      </c>
      <c r="C247" s="19" t="s">
        <v>12</v>
      </c>
      <c r="D247" s="5" t="s">
        <v>146</v>
      </c>
      <c r="E247" s="6">
        <v>366976.59096859</v>
      </c>
      <c r="F247" s="6">
        <v>6548561.9552825997</v>
      </c>
      <c r="G247" s="7" t="str">
        <f>HYPERLINK("https://minkarta.lantmateriet.se/?e=366976,59096859&amp;n=6548561,9552826&amp;z=12&amp;profile=flygbildmedgranser&amp;background=2&amp;boundaries=true","Visa")</f>
        <v>Visa</v>
      </c>
      <c r="H247" s="5" t="s">
        <v>13</v>
      </c>
      <c r="I247" s="8">
        <v>39.547789999999999</v>
      </c>
      <c r="J247" s="9">
        <v>50.601170000000003</v>
      </c>
      <c r="K247" s="9">
        <v>52.055140000000002</v>
      </c>
      <c r="L247" s="14">
        <v>40.470460000000003</v>
      </c>
      <c r="M247" s="9">
        <v>51.100670000000001</v>
      </c>
      <c r="N247" s="9">
        <v>54.571330000000003</v>
      </c>
      <c r="O247" s="14">
        <v>41.252189999999999</v>
      </c>
      <c r="P247" s="9">
        <v>52.08549</v>
      </c>
      <c r="Q247" s="9">
        <v>54.940060000000003</v>
      </c>
      <c r="R247" s="23">
        <v>40.895420000000001</v>
      </c>
      <c r="S247" s="8">
        <v>0.78173000000000004</v>
      </c>
      <c r="T247" s="9">
        <v>0.98482000000000003</v>
      </c>
      <c r="U247" s="24">
        <v>0.36873</v>
      </c>
    </row>
    <row r="248" spans="1:21" ht="12" customHeight="1" x14ac:dyDescent="0.25">
      <c r="A248" s="5">
        <v>473</v>
      </c>
      <c r="B248" s="19" t="s">
        <v>145</v>
      </c>
      <c r="C248" s="19" t="s">
        <v>12</v>
      </c>
      <c r="D248" s="5" t="s">
        <v>146</v>
      </c>
      <c r="E248" s="6">
        <v>366972.92422019999</v>
      </c>
      <c r="F248" s="6">
        <v>6548567.3119697003</v>
      </c>
      <c r="G248" s="7" t="str">
        <f>HYPERLINK("https://minkarta.lantmateriet.se/?e=366972,9242202&amp;n=6548567,3119697&amp;z=12&amp;profile=flygbildmedgranser&amp;background=2&amp;boundaries=true","Visa")</f>
        <v>Visa</v>
      </c>
      <c r="H248" s="5" t="s">
        <v>14</v>
      </c>
      <c r="I248" s="8">
        <v>38.386220000000002</v>
      </c>
      <c r="J248" s="9">
        <v>49.185009999999998</v>
      </c>
      <c r="K248" s="9">
        <v>50.63897</v>
      </c>
      <c r="L248" s="14">
        <v>39.313890000000001</v>
      </c>
      <c r="M248" s="9">
        <v>49.6845</v>
      </c>
      <c r="N248" s="9">
        <v>53.155160000000002</v>
      </c>
      <c r="O248" s="14">
        <v>40.342559999999999</v>
      </c>
      <c r="P248" s="9">
        <v>50.669319999999999</v>
      </c>
      <c r="Q248" s="9">
        <v>53.523899999999998</v>
      </c>
      <c r="R248" s="23">
        <v>39.079689999999999</v>
      </c>
      <c r="S248" s="8">
        <v>1.02867</v>
      </c>
      <c r="T248" s="9">
        <v>0.98482000000000003</v>
      </c>
      <c r="U248" s="24">
        <v>0.36874000000000001</v>
      </c>
    </row>
    <row r="249" spans="1:21" ht="12" customHeight="1" x14ac:dyDescent="0.25">
      <c r="A249" s="5">
        <v>474</v>
      </c>
      <c r="B249" s="19" t="s">
        <v>145</v>
      </c>
      <c r="C249" s="19" t="s">
        <v>12</v>
      </c>
      <c r="D249" s="5" t="s">
        <v>146</v>
      </c>
      <c r="E249" s="6">
        <v>366965.70853344002</v>
      </c>
      <c r="F249" s="6">
        <v>6548562.2322215</v>
      </c>
      <c r="G249" s="7" t="str">
        <f>HYPERLINK("https://minkarta.lantmateriet.se/?e=366965,70853344&amp;n=6548562,2322215&amp;z=12&amp;profile=flygbildmedgranser&amp;background=2&amp;boundaries=true","Visa")</f>
        <v>Visa</v>
      </c>
      <c r="H249" s="5" t="s">
        <v>16</v>
      </c>
      <c r="I249" s="8">
        <v>49.335000000000001</v>
      </c>
      <c r="J249" s="9">
        <v>61.38165</v>
      </c>
      <c r="K249" s="9">
        <v>62.835610000000003</v>
      </c>
      <c r="L249" s="14">
        <v>50.334319999999998</v>
      </c>
      <c r="M249" s="9">
        <v>61.881149999999998</v>
      </c>
      <c r="N249" s="9">
        <v>65.351799999999997</v>
      </c>
      <c r="O249" s="14">
        <v>51.551859999999998</v>
      </c>
      <c r="P249" s="9">
        <v>62.865960000000001</v>
      </c>
      <c r="Q249" s="9">
        <v>65.72054</v>
      </c>
      <c r="R249" s="23">
        <v>50.080840000000002</v>
      </c>
      <c r="S249" s="8">
        <v>1.2175400000000001</v>
      </c>
      <c r="T249" s="9">
        <v>0.98480999999999996</v>
      </c>
      <c r="U249" s="24">
        <v>0.36874000000000001</v>
      </c>
    </row>
    <row r="250" spans="1:21" ht="12" customHeight="1" x14ac:dyDescent="0.25">
      <c r="A250" s="5">
        <v>475</v>
      </c>
      <c r="B250" s="19" t="s">
        <v>145</v>
      </c>
      <c r="C250" s="19" t="s">
        <v>12</v>
      </c>
      <c r="D250" s="5" t="s">
        <v>146</v>
      </c>
      <c r="E250" s="6">
        <v>366967.45078061998</v>
      </c>
      <c r="F250" s="6">
        <v>6548554.1060346998</v>
      </c>
      <c r="G250" s="7" t="str">
        <f>HYPERLINK("https://minkarta.lantmateriet.se/?e=366967,45078062&amp;n=6548554,1060347&amp;z=12&amp;profile=flygbildmedgranser&amp;background=2&amp;boundaries=true","Visa")</f>
        <v>Visa</v>
      </c>
      <c r="H250" s="5" t="s">
        <v>15</v>
      </c>
      <c r="I250" s="8">
        <v>48.043869999999998</v>
      </c>
      <c r="J250" s="9">
        <v>59.17727</v>
      </c>
      <c r="K250" s="9">
        <v>60.631239999999998</v>
      </c>
      <c r="L250" s="14">
        <v>49.008839999999999</v>
      </c>
      <c r="M250" s="9">
        <v>59.676769999999998</v>
      </c>
      <c r="N250" s="9">
        <v>63.14743</v>
      </c>
      <c r="O250" s="14">
        <v>50.243549999999999</v>
      </c>
      <c r="P250" s="9">
        <v>60.745089999999998</v>
      </c>
      <c r="Q250" s="9">
        <v>63.59966</v>
      </c>
      <c r="R250" s="23">
        <v>49.340299999999999</v>
      </c>
      <c r="S250" s="8">
        <v>1.23471</v>
      </c>
      <c r="T250" s="9">
        <v>1.0683199999999999</v>
      </c>
      <c r="U250" s="24">
        <v>0.45223000000000002</v>
      </c>
    </row>
    <row r="251" spans="1:21" ht="12" customHeight="1" x14ac:dyDescent="0.25">
      <c r="A251" s="5">
        <v>476</v>
      </c>
      <c r="B251" s="19" t="s">
        <v>147</v>
      </c>
      <c r="C251" s="19" t="s">
        <v>12</v>
      </c>
      <c r="D251" s="5" t="s">
        <v>148</v>
      </c>
      <c r="E251" s="6">
        <v>366968.04843237001</v>
      </c>
      <c r="F251" s="6">
        <v>6548586.7591779996</v>
      </c>
      <c r="G251" s="7" t="str">
        <f>HYPERLINK("https://minkarta.lantmateriet.se/?e=366968,04843237&amp;n=6548586,759178&amp;z=12&amp;profile=flygbildmedgranser&amp;background=2&amp;boundaries=true","Visa")</f>
        <v>Visa</v>
      </c>
      <c r="H251" s="5" t="s">
        <v>13</v>
      </c>
      <c r="I251" s="8">
        <v>38.754370000000002</v>
      </c>
      <c r="J251" s="9">
        <v>41.755249999999997</v>
      </c>
      <c r="K251" s="9">
        <v>43.209209999999999</v>
      </c>
      <c r="L251" s="14">
        <v>39.675989999999999</v>
      </c>
      <c r="M251" s="9">
        <v>42.254739999999998</v>
      </c>
      <c r="N251" s="9">
        <v>45.7254</v>
      </c>
      <c r="O251" s="14">
        <v>39.94614</v>
      </c>
      <c r="P251" s="9">
        <v>43.239559999999997</v>
      </c>
      <c r="Q251" s="9">
        <v>46.094140000000003</v>
      </c>
      <c r="R251" s="23">
        <v>35.533749999999998</v>
      </c>
      <c r="S251" s="8">
        <v>0.27015</v>
      </c>
      <c r="T251" s="9">
        <v>0.98482000000000003</v>
      </c>
      <c r="U251" s="24">
        <v>0.36874000000000001</v>
      </c>
    </row>
    <row r="252" spans="1:21" ht="12" customHeight="1" x14ac:dyDescent="0.25">
      <c r="A252" s="5">
        <v>477</v>
      </c>
      <c r="B252" s="19" t="s">
        <v>147</v>
      </c>
      <c r="C252" s="19" t="s">
        <v>12</v>
      </c>
      <c r="D252" s="5" t="s">
        <v>148</v>
      </c>
      <c r="E252" s="6">
        <v>366966.34182407003</v>
      </c>
      <c r="F252" s="6">
        <v>6548594.9879337</v>
      </c>
      <c r="G252" s="7" t="str">
        <f>HYPERLINK("https://minkarta.lantmateriet.se/?e=366966,34182407&amp;n=6548594,9879337&amp;z=12&amp;profile=flygbildmedgranser&amp;background=2&amp;boundaries=true","Visa")</f>
        <v>Visa</v>
      </c>
      <c r="H252" s="5" t="s">
        <v>14</v>
      </c>
      <c r="I252" s="8">
        <v>39.481659999999998</v>
      </c>
      <c r="J252" s="9">
        <v>49.774169999999998</v>
      </c>
      <c r="K252" s="9">
        <v>51.22813</v>
      </c>
      <c r="L252" s="14">
        <v>40.419269999999997</v>
      </c>
      <c r="M252" s="9">
        <v>50.273670000000003</v>
      </c>
      <c r="N252" s="9">
        <v>53.744320000000002</v>
      </c>
      <c r="O252" s="14">
        <v>40.733049999999999</v>
      </c>
      <c r="P252" s="9">
        <v>51.258479999999999</v>
      </c>
      <c r="Q252" s="9">
        <v>54.113059999999997</v>
      </c>
      <c r="R252" s="23">
        <v>31.457049999999999</v>
      </c>
      <c r="S252" s="8">
        <v>0.31378</v>
      </c>
      <c r="T252" s="9">
        <v>0.98480999999999996</v>
      </c>
      <c r="U252" s="24">
        <v>0.36874000000000001</v>
      </c>
    </row>
    <row r="253" spans="1:21" ht="12" customHeight="1" x14ac:dyDescent="0.25">
      <c r="A253" s="5">
        <v>478</v>
      </c>
      <c r="B253" s="19" t="s">
        <v>147</v>
      </c>
      <c r="C253" s="19" t="s">
        <v>12</v>
      </c>
      <c r="D253" s="5" t="s">
        <v>148</v>
      </c>
      <c r="E253" s="6">
        <v>366959.85356927</v>
      </c>
      <c r="F253" s="6">
        <v>6548589.6473249998</v>
      </c>
      <c r="G253" s="7" t="str">
        <f>HYPERLINK("https://minkarta.lantmateriet.se/?e=366959,85356927&amp;n=6548589,647325&amp;z=12&amp;profile=flygbildmedgranser&amp;background=2&amp;boundaries=true","Visa")</f>
        <v>Visa</v>
      </c>
      <c r="H253" s="5" t="s">
        <v>16</v>
      </c>
      <c r="I253" s="8">
        <v>45.584159999999997</v>
      </c>
      <c r="J253" s="9">
        <v>57.050559999999997</v>
      </c>
      <c r="K253" s="9">
        <v>58.504519999999999</v>
      </c>
      <c r="L253" s="14">
        <v>46.563420000000001</v>
      </c>
      <c r="M253" s="9">
        <v>57.550060000000002</v>
      </c>
      <c r="N253" s="9">
        <v>61.020719999999997</v>
      </c>
      <c r="O253" s="14">
        <v>47.976619999999997</v>
      </c>
      <c r="P253" s="9">
        <v>58.534880000000001</v>
      </c>
      <c r="Q253" s="9">
        <v>61.389449999999997</v>
      </c>
      <c r="R253" s="23">
        <v>46.999110000000002</v>
      </c>
      <c r="S253" s="8">
        <v>1.4132</v>
      </c>
      <c r="T253" s="9">
        <v>0.98482000000000003</v>
      </c>
      <c r="U253" s="24">
        <v>0.36873</v>
      </c>
    </row>
    <row r="254" spans="1:21" ht="12" customHeight="1" x14ac:dyDescent="0.25">
      <c r="A254" s="5">
        <v>479</v>
      </c>
      <c r="B254" s="19" t="s">
        <v>147</v>
      </c>
      <c r="C254" s="19" t="s">
        <v>12</v>
      </c>
      <c r="D254" s="5" t="s">
        <v>148</v>
      </c>
      <c r="E254" s="6">
        <v>366961.56017617998</v>
      </c>
      <c r="F254" s="6">
        <v>6548581.4185709003</v>
      </c>
      <c r="G254" s="7" t="str">
        <f>HYPERLINK("https://minkarta.lantmateriet.se/?e=366961,56017618&amp;n=6548581,4185709&amp;z=12&amp;profile=flygbildmedgranser&amp;background=2&amp;boundaries=true","Visa")</f>
        <v>Visa</v>
      </c>
      <c r="H254" s="5" t="s">
        <v>15</v>
      </c>
      <c r="I254" s="8">
        <v>46.289659999999998</v>
      </c>
      <c r="J254" s="9">
        <v>57.769350000000003</v>
      </c>
      <c r="K254" s="9">
        <v>59.223320000000001</v>
      </c>
      <c r="L254" s="14">
        <v>47.2697</v>
      </c>
      <c r="M254" s="9">
        <v>58.26885</v>
      </c>
      <c r="N254" s="9">
        <v>61.739510000000003</v>
      </c>
      <c r="O254" s="14">
        <v>48.634360000000001</v>
      </c>
      <c r="P254" s="9">
        <v>59.25367</v>
      </c>
      <c r="Q254" s="9">
        <v>62.108249999999998</v>
      </c>
      <c r="R254" s="23">
        <v>47.180509999999998</v>
      </c>
      <c r="S254" s="8">
        <v>1.36466</v>
      </c>
      <c r="T254" s="9">
        <v>0.98482000000000003</v>
      </c>
      <c r="U254" s="24">
        <v>0.36874000000000001</v>
      </c>
    </row>
    <row r="255" spans="1:21" ht="12" customHeight="1" x14ac:dyDescent="0.25">
      <c r="A255" s="5">
        <v>480</v>
      </c>
      <c r="B255" s="19" t="s">
        <v>149</v>
      </c>
      <c r="C255" s="19" t="s">
        <v>12</v>
      </c>
      <c r="D255" s="5" t="s">
        <v>150</v>
      </c>
      <c r="E255" s="6">
        <v>366970.29269272002</v>
      </c>
      <c r="F255" s="6">
        <v>6548608.6115651</v>
      </c>
      <c r="G255" s="7" t="str">
        <f>HYPERLINK("https://minkarta.lantmateriet.se/?e=366970,29269272&amp;n=6548608,6115651&amp;z=12&amp;profile=flygbildmedgranser&amp;background=2&amp;boundaries=true","Visa")</f>
        <v>Visa</v>
      </c>
      <c r="H255" s="5" t="s">
        <v>15</v>
      </c>
      <c r="I255" s="8">
        <v>43.073529999999998</v>
      </c>
      <c r="J255" s="9">
        <v>52.394449999999999</v>
      </c>
      <c r="K255" s="9">
        <v>53.848419999999997</v>
      </c>
      <c r="L255" s="14">
        <v>44.014119999999998</v>
      </c>
      <c r="M255" s="9">
        <v>52.893949999999997</v>
      </c>
      <c r="N255" s="9">
        <v>56.364600000000003</v>
      </c>
      <c r="O255" s="14">
        <v>45.17671</v>
      </c>
      <c r="P255" s="9">
        <v>53.820740000000001</v>
      </c>
      <c r="Q255" s="9">
        <v>56.675310000000003</v>
      </c>
      <c r="R255" s="23">
        <v>44.978149999999999</v>
      </c>
      <c r="S255" s="8">
        <v>1.16259</v>
      </c>
      <c r="T255" s="9">
        <v>0.92679</v>
      </c>
      <c r="U255" s="24">
        <v>0.31070999999999999</v>
      </c>
    </row>
    <row r="256" spans="1:21" ht="12" customHeight="1" x14ac:dyDescent="0.25">
      <c r="A256" s="5">
        <v>481</v>
      </c>
      <c r="B256" s="19" t="s">
        <v>149</v>
      </c>
      <c r="C256" s="19" t="s">
        <v>12</v>
      </c>
      <c r="D256" s="5" t="s">
        <v>150</v>
      </c>
      <c r="E256" s="6">
        <v>366978.72369195003</v>
      </c>
      <c r="F256" s="6">
        <v>6548607.1645654002</v>
      </c>
      <c r="G256" s="7" t="str">
        <f>HYPERLINK("https://minkarta.lantmateriet.se/?e=366978,72369195&amp;n=6548607,1645654&amp;z=12&amp;profile=flygbildmedgranser&amp;background=2&amp;boundaries=true","Visa")</f>
        <v>Visa</v>
      </c>
      <c r="H256" s="5" t="s">
        <v>15</v>
      </c>
      <c r="I256" s="8">
        <v>41.603290000000001</v>
      </c>
      <c r="J256" s="9">
        <v>46.15099</v>
      </c>
      <c r="K256" s="9">
        <v>47.604950000000002</v>
      </c>
      <c r="L256" s="14">
        <v>42.498930000000001</v>
      </c>
      <c r="M256" s="9">
        <v>46.650489999999998</v>
      </c>
      <c r="N256" s="9">
        <v>50.121139999999997</v>
      </c>
      <c r="O256" s="14">
        <v>43.539119999999997</v>
      </c>
      <c r="P256" s="9">
        <v>48.973610000000001</v>
      </c>
      <c r="Q256" s="9">
        <v>50.712380000000003</v>
      </c>
      <c r="R256" s="23">
        <v>43.56682</v>
      </c>
      <c r="S256" s="8">
        <v>1.0401899999999999</v>
      </c>
      <c r="T256" s="9">
        <v>2.3231199999999999</v>
      </c>
      <c r="U256" s="24">
        <v>0.59123999999999999</v>
      </c>
    </row>
    <row r="257" spans="1:21" ht="12" customHeight="1" x14ac:dyDescent="0.25">
      <c r="A257" s="5">
        <v>482</v>
      </c>
      <c r="B257" s="19" t="s">
        <v>149</v>
      </c>
      <c r="C257" s="19" t="s">
        <v>12</v>
      </c>
      <c r="D257" s="5" t="s">
        <v>150</v>
      </c>
      <c r="E257" s="6">
        <v>366985.66643754003</v>
      </c>
      <c r="F257" s="6">
        <v>6548610.1746926997</v>
      </c>
      <c r="G257" s="7" t="str">
        <f>HYPERLINK("https://minkarta.lantmateriet.se/?e=366985,66643754&amp;n=6548610,1746927&amp;z=12&amp;profile=flygbildmedgranser&amp;background=2&amp;boundaries=true","Visa")</f>
        <v>Visa</v>
      </c>
      <c r="H257" s="5" t="s">
        <v>13</v>
      </c>
      <c r="I257" s="8">
        <v>39.114620000000002</v>
      </c>
      <c r="J257" s="9">
        <v>41.865200000000002</v>
      </c>
      <c r="K257" s="9">
        <v>44.132689999999997</v>
      </c>
      <c r="L257" s="14">
        <v>40.024290000000001</v>
      </c>
      <c r="M257" s="9">
        <v>42.525069999999999</v>
      </c>
      <c r="N257" s="9">
        <v>44.863370000000003</v>
      </c>
      <c r="O257" s="14">
        <v>40.20185</v>
      </c>
      <c r="P257" s="9">
        <v>42.57</v>
      </c>
      <c r="Q257" s="9">
        <v>44.906149999999997</v>
      </c>
      <c r="R257" s="23">
        <v>38.970489999999998</v>
      </c>
      <c r="S257" s="8">
        <v>0.17756</v>
      </c>
      <c r="T257" s="9">
        <v>4.4929999999999998E-2</v>
      </c>
      <c r="U257" s="24">
        <v>4.2779999999999999E-2</v>
      </c>
    </row>
    <row r="258" spans="1:21" ht="12" customHeight="1" x14ac:dyDescent="0.25">
      <c r="A258" s="5">
        <v>483</v>
      </c>
      <c r="B258" s="19" t="s">
        <v>149</v>
      </c>
      <c r="C258" s="19" t="s">
        <v>12</v>
      </c>
      <c r="D258" s="5" t="s">
        <v>150</v>
      </c>
      <c r="E258" s="6">
        <v>366981.28981057002</v>
      </c>
      <c r="F258" s="6">
        <v>6548617.1544385003</v>
      </c>
      <c r="G258" s="7" t="str">
        <f>HYPERLINK("https://minkarta.lantmateriet.se/?e=366981,28981057&amp;n=6548617,1544385&amp;z=12&amp;profile=flygbildmedgranser&amp;background=2&amp;boundaries=true","Visa")</f>
        <v>Visa</v>
      </c>
      <c r="H258" s="5" t="s">
        <v>14</v>
      </c>
      <c r="I258" s="8">
        <v>39.08522</v>
      </c>
      <c r="J258" s="9">
        <v>40.264850000000003</v>
      </c>
      <c r="K258" s="9">
        <v>41.793430000000001</v>
      </c>
      <c r="L258" s="14">
        <v>40.008859999999999</v>
      </c>
      <c r="M258" s="9">
        <v>40.693959999999997</v>
      </c>
      <c r="N258" s="9">
        <v>43.523850000000003</v>
      </c>
      <c r="O258" s="14">
        <v>40.389940000000003</v>
      </c>
      <c r="P258" s="9">
        <v>40.893000000000001</v>
      </c>
      <c r="Q258" s="9">
        <v>43.747579999999999</v>
      </c>
      <c r="R258" s="23">
        <v>41.18074</v>
      </c>
      <c r="S258" s="8">
        <v>0.38107999999999997</v>
      </c>
      <c r="T258" s="9">
        <v>0.19903999999999999</v>
      </c>
      <c r="U258" s="24">
        <v>0.22373000000000001</v>
      </c>
    </row>
    <row r="259" spans="1:21" ht="12" customHeight="1" x14ac:dyDescent="0.25">
      <c r="A259" s="5">
        <v>484</v>
      </c>
      <c r="B259" s="19" t="s">
        <v>149</v>
      </c>
      <c r="C259" s="19" t="s">
        <v>12</v>
      </c>
      <c r="D259" s="5" t="s">
        <v>150</v>
      </c>
      <c r="E259" s="6">
        <v>366974.81906447001</v>
      </c>
      <c r="F259" s="6">
        <v>6548618.1628114004</v>
      </c>
      <c r="G259" s="7" t="str">
        <f>HYPERLINK("https://minkarta.lantmateriet.se/?e=366974,81906447&amp;n=6548618,1628114&amp;z=12&amp;profile=flygbildmedgranser&amp;background=2&amp;boundaries=true","Visa")</f>
        <v>Visa</v>
      </c>
      <c r="H259" s="5" t="s">
        <v>16</v>
      </c>
      <c r="I259" s="8">
        <v>39.282470000000004</v>
      </c>
      <c r="J259" s="9">
        <v>44.575470000000003</v>
      </c>
      <c r="K259" s="9">
        <v>46.029429999999998</v>
      </c>
      <c r="L259" s="14">
        <v>40.205910000000003</v>
      </c>
      <c r="M259" s="9">
        <v>45.07497</v>
      </c>
      <c r="N259" s="9">
        <v>48.54562</v>
      </c>
      <c r="O259" s="14">
        <v>40.368099999999998</v>
      </c>
      <c r="P259" s="9">
        <v>46.059780000000003</v>
      </c>
      <c r="Q259" s="9">
        <v>48.914360000000002</v>
      </c>
      <c r="R259" s="23">
        <v>31.825690000000002</v>
      </c>
      <c r="S259" s="8">
        <v>0.16219</v>
      </c>
      <c r="T259" s="9">
        <v>0.98480999999999996</v>
      </c>
      <c r="U259" s="24">
        <v>0.36874000000000001</v>
      </c>
    </row>
    <row r="260" spans="1:21" ht="12" customHeight="1" x14ac:dyDescent="0.25">
      <c r="A260" s="5">
        <v>485</v>
      </c>
      <c r="B260" s="19" t="s">
        <v>149</v>
      </c>
      <c r="C260" s="19" t="s">
        <v>12</v>
      </c>
      <c r="D260" s="5" t="s">
        <v>150</v>
      </c>
      <c r="E260" s="6">
        <v>366972.54931028001</v>
      </c>
      <c r="F260" s="6">
        <v>6548617.7189386003</v>
      </c>
      <c r="G260" s="7" t="str">
        <f>HYPERLINK("https://minkarta.lantmateriet.se/?e=366972,54931028&amp;n=6548617,7189386&amp;z=12&amp;profile=flygbildmedgranser&amp;background=2&amp;boundaries=true","Visa")</f>
        <v>Visa</v>
      </c>
      <c r="H260" s="5" t="s">
        <v>14</v>
      </c>
      <c r="I260" s="8">
        <v>37.854030000000002</v>
      </c>
      <c r="J260" s="9">
        <v>39.359409999999997</v>
      </c>
      <c r="K260" s="9">
        <v>40.928159999999998</v>
      </c>
      <c r="L260" s="14">
        <v>38.767249999999997</v>
      </c>
      <c r="M260" s="9">
        <v>39.815939999999998</v>
      </c>
      <c r="N260" s="9">
        <v>41.433660000000003</v>
      </c>
      <c r="O260" s="14">
        <v>39.01632</v>
      </c>
      <c r="P260" s="9">
        <v>39.847020000000001</v>
      </c>
      <c r="Q260" s="9">
        <v>41.463259999999998</v>
      </c>
      <c r="R260" s="23">
        <v>34.867550000000001</v>
      </c>
      <c r="S260" s="8">
        <v>0.24907000000000001</v>
      </c>
      <c r="T260" s="9">
        <v>3.108E-2</v>
      </c>
      <c r="U260" s="24">
        <v>2.9600000000000001E-2</v>
      </c>
    </row>
    <row r="261" spans="1:21" ht="12" customHeight="1" x14ac:dyDescent="0.25">
      <c r="A261" s="5">
        <v>486</v>
      </c>
      <c r="B261" s="19" t="s">
        <v>149</v>
      </c>
      <c r="C261" s="19" t="s">
        <v>12</v>
      </c>
      <c r="D261" s="5" t="s">
        <v>150</v>
      </c>
      <c r="E261" s="6">
        <v>366969.10206455999</v>
      </c>
      <c r="F261" s="6">
        <v>6548613.9783116002</v>
      </c>
      <c r="G261" s="7" t="str">
        <f>HYPERLINK("https://minkarta.lantmateriet.se/?e=366969,10206456&amp;n=6548613,9783116&amp;z=12&amp;profile=flygbildmedgranser&amp;background=2&amp;boundaries=true","Visa")</f>
        <v>Visa</v>
      </c>
      <c r="H261" s="5" t="s">
        <v>16</v>
      </c>
      <c r="I261" s="8">
        <v>43.265900000000002</v>
      </c>
      <c r="J261" s="9">
        <v>52.08014</v>
      </c>
      <c r="K261" s="9">
        <v>53.534109999999998</v>
      </c>
      <c r="L261" s="14">
        <v>44.226149999999997</v>
      </c>
      <c r="M261" s="9">
        <v>52.579639999999998</v>
      </c>
      <c r="N261" s="9">
        <v>56.0503</v>
      </c>
      <c r="O261" s="14">
        <v>45.381999999999998</v>
      </c>
      <c r="P261" s="9">
        <v>53.564459999999997</v>
      </c>
      <c r="Q261" s="9">
        <v>56.419029999999999</v>
      </c>
      <c r="R261" s="23">
        <v>45.765749999999997</v>
      </c>
      <c r="S261" s="8">
        <v>1.15585</v>
      </c>
      <c r="T261" s="9">
        <v>0.98482000000000003</v>
      </c>
      <c r="U261" s="24">
        <v>0.36873</v>
      </c>
    </row>
    <row r="262" spans="1:21" ht="12" customHeight="1" x14ac:dyDescent="0.25">
      <c r="A262" s="5">
        <v>487</v>
      </c>
      <c r="B262" s="19" t="s">
        <v>151</v>
      </c>
      <c r="C262" s="19" t="s">
        <v>12</v>
      </c>
      <c r="D262" s="5" t="s">
        <v>152</v>
      </c>
      <c r="E262" s="6">
        <v>366980.66732910997</v>
      </c>
      <c r="F262" s="6">
        <v>6548633.9227005001</v>
      </c>
      <c r="G262" s="7" t="str">
        <f>HYPERLINK("https://minkarta.lantmateriet.se/?e=366980,66732911&amp;n=6548633,9227005&amp;z=12&amp;profile=flygbildmedgranser&amp;background=2&amp;boundaries=true","Visa")</f>
        <v>Visa</v>
      </c>
      <c r="H262" s="5" t="s">
        <v>15</v>
      </c>
      <c r="I262" s="8">
        <v>42.832659999999997</v>
      </c>
      <c r="J262" s="9">
        <v>48.894849999999998</v>
      </c>
      <c r="K262" s="9">
        <v>50.34881</v>
      </c>
      <c r="L262" s="14">
        <v>43.729100000000003</v>
      </c>
      <c r="M262" s="9">
        <v>49.39434</v>
      </c>
      <c r="N262" s="9">
        <v>52.865000000000002</v>
      </c>
      <c r="O262" s="14">
        <v>44.819690000000001</v>
      </c>
      <c r="P262" s="9">
        <v>50.379159999999999</v>
      </c>
      <c r="Q262" s="9">
        <v>53.233739999999997</v>
      </c>
      <c r="R262" s="23">
        <v>44.769559999999998</v>
      </c>
      <c r="S262" s="8">
        <v>1.0905899999999999</v>
      </c>
      <c r="T262" s="9">
        <v>0.98482000000000003</v>
      </c>
      <c r="U262" s="24">
        <v>0.36874000000000001</v>
      </c>
    </row>
    <row r="263" spans="1:21" ht="12" customHeight="1" x14ac:dyDescent="0.25">
      <c r="A263" s="5">
        <v>488</v>
      </c>
      <c r="B263" s="19" t="s">
        <v>151</v>
      </c>
      <c r="C263" s="19" t="s">
        <v>12</v>
      </c>
      <c r="D263" s="5" t="s">
        <v>152</v>
      </c>
      <c r="E263" s="6">
        <v>366982.32870006998</v>
      </c>
      <c r="F263" s="6">
        <v>6548629.9936752003</v>
      </c>
      <c r="G263" s="7" t="str">
        <f>HYPERLINK("https://minkarta.lantmateriet.se/?e=366982,32870007&amp;n=6548629,9936752&amp;z=12&amp;profile=flygbildmedgranser&amp;background=2&amp;boundaries=true","Visa")</f>
        <v>Visa</v>
      </c>
      <c r="H263" s="5" t="s">
        <v>16</v>
      </c>
      <c r="I263" s="8">
        <v>42.267249999999997</v>
      </c>
      <c r="J263" s="9">
        <v>48.782389999999999</v>
      </c>
      <c r="K263" s="9">
        <v>50.236350000000002</v>
      </c>
      <c r="L263" s="14">
        <v>43.18282</v>
      </c>
      <c r="M263" s="9">
        <v>49.281889999999997</v>
      </c>
      <c r="N263" s="9">
        <v>52.752540000000003</v>
      </c>
      <c r="O263" s="14">
        <v>44.580829999999999</v>
      </c>
      <c r="P263" s="9">
        <v>50.668959999999998</v>
      </c>
      <c r="Q263" s="9">
        <v>53.117919999999998</v>
      </c>
      <c r="R263" s="23">
        <v>44.735950000000003</v>
      </c>
      <c r="S263" s="8">
        <v>1.39801</v>
      </c>
      <c r="T263" s="9">
        <v>1.38707</v>
      </c>
      <c r="U263" s="24">
        <v>0.36537999999999998</v>
      </c>
    </row>
    <row r="264" spans="1:21" ht="12" customHeight="1" x14ac:dyDescent="0.25">
      <c r="A264" s="5">
        <v>489</v>
      </c>
      <c r="B264" s="19" t="s">
        <v>151</v>
      </c>
      <c r="C264" s="19" t="s">
        <v>12</v>
      </c>
      <c r="D264" s="5" t="s">
        <v>152</v>
      </c>
      <c r="E264" s="6">
        <v>366984.7438305</v>
      </c>
      <c r="F264" s="6">
        <v>6548625.7461999999</v>
      </c>
      <c r="G264" s="7" t="str">
        <f>HYPERLINK("https://minkarta.lantmateriet.se/?e=366984,7438305&amp;n=6548625,7462&amp;z=12&amp;profile=flygbildmedgranser&amp;background=2&amp;boundaries=true","Visa")</f>
        <v>Visa</v>
      </c>
      <c r="H264" s="5" t="s">
        <v>15</v>
      </c>
      <c r="I264" s="8">
        <v>41.390929999999997</v>
      </c>
      <c r="J264" s="9">
        <v>43.708039999999997</v>
      </c>
      <c r="K264" s="9">
        <v>45.937719999999999</v>
      </c>
      <c r="L264" s="14">
        <v>42.32179</v>
      </c>
      <c r="M264" s="9">
        <v>44.330100000000002</v>
      </c>
      <c r="N264" s="9">
        <v>46.668379999999999</v>
      </c>
      <c r="O264" s="14">
        <v>42.848999999999997</v>
      </c>
      <c r="P264" s="9">
        <v>44.375019999999999</v>
      </c>
      <c r="Q264" s="9">
        <v>46.711170000000003</v>
      </c>
      <c r="R264" s="23">
        <v>41.916049999999998</v>
      </c>
      <c r="S264" s="8">
        <v>0.52720999999999996</v>
      </c>
      <c r="T264" s="9">
        <v>4.4920000000000002E-2</v>
      </c>
      <c r="U264" s="24">
        <v>4.2790000000000002E-2</v>
      </c>
    </row>
    <row r="265" spans="1:21" ht="12" customHeight="1" x14ac:dyDescent="0.25">
      <c r="A265" s="5">
        <v>490</v>
      </c>
      <c r="B265" s="19" t="s">
        <v>151</v>
      </c>
      <c r="C265" s="19" t="s">
        <v>12</v>
      </c>
      <c r="D265" s="5" t="s">
        <v>152</v>
      </c>
      <c r="E265" s="6">
        <v>366990.99630286999</v>
      </c>
      <c r="F265" s="6">
        <v>6548631.2203310998</v>
      </c>
      <c r="G265" s="7" t="str">
        <f>HYPERLINK("https://minkarta.lantmateriet.se/?e=366990,99630287&amp;n=6548631,2203311&amp;z=12&amp;profile=flygbildmedgranser&amp;background=2&amp;boundaries=true","Visa")</f>
        <v>Visa</v>
      </c>
      <c r="H265" s="5" t="s">
        <v>13</v>
      </c>
      <c r="I265" s="8">
        <v>39.335129999999999</v>
      </c>
      <c r="J265" s="9">
        <v>40.904299999999999</v>
      </c>
      <c r="K265" s="9">
        <v>42.473050000000001</v>
      </c>
      <c r="L265" s="14">
        <v>40.24362</v>
      </c>
      <c r="M265" s="9">
        <v>41.36083</v>
      </c>
      <c r="N265" s="9">
        <v>42.978549999999998</v>
      </c>
      <c r="O265" s="14">
        <v>40.530250000000002</v>
      </c>
      <c r="P265" s="9">
        <v>41.391910000000003</v>
      </c>
      <c r="Q265" s="9">
        <v>43.008159999999997</v>
      </c>
      <c r="R265" s="23">
        <v>37.000160000000001</v>
      </c>
      <c r="S265" s="8">
        <v>0.28663</v>
      </c>
      <c r="T265" s="9">
        <v>3.108E-2</v>
      </c>
      <c r="U265" s="24">
        <v>2.9610000000000001E-2</v>
      </c>
    </row>
    <row r="266" spans="1:21" ht="12" customHeight="1" x14ac:dyDescent="0.25">
      <c r="A266" s="5">
        <v>491</v>
      </c>
      <c r="B266" s="19" t="s">
        <v>151</v>
      </c>
      <c r="C266" s="19" t="s">
        <v>12</v>
      </c>
      <c r="D266" s="5" t="s">
        <v>152</v>
      </c>
      <c r="E266" s="6">
        <v>366987.37967286998</v>
      </c>
      <c r="F266" s="6">
        <v>6548640.5898035001</v>
      </c>
      <c r="G266" s="7" t="str">
        <f>HYPERLINK("https://minkarta.lantmateriet.se/?e=366987,37967287&amp;n=6548640,5898035&amp;z=12&amp;profile=flygbildmedgranser&amp;background=2&amp;boundaries=true","Visa")</f>
        <v>Visa</v>
      </c>
      <c r="H266" s="5" t="s">
        <v>14</v>
      </c>
      <c r="I266" s="8">
        <v>38.403080000000003</v>
      </c>
      <c r="J266" s="9">
        <v>40.629980000000003</v>
      </c>
      <c r="K266" s="9">
        <v>42.198729999999998</v>
      </c>
      <c r="L266" s="14">
        <v>39.321309999999997</v>
      </c>
      <c r="M266" s="9">
        <v>41.086509999999997</v>
      </c>
      <c r="N266" s="9">
        <v>42.704230000000003</v>
      </c>
      <c r="O266" s="14">
        <v>39.827460000000002</v>
      </c>
      <c r="P266" s="9">
        <v>41.11759</v>
      </c>
      <c r="Q266" s="9">
        <v>42.733829999999998</v>
      </c>
      <c r="R266" s="23">
        <v>39.291490000000003</v>
      </c>
      <c r="S266" s="8">
        <v>0.50614999999999999</v>
      </c>
      <c r="T266" s="9">
        <v>3.108E-2</v>
      </c>
      <c r="U266" s="24">
        <v>2.9600000000000001E-2</v>
      </c>
    </row>
    <row r="267" spans="1:21" ht="12" customHeight="1" x14ac:dyDescent="0.25">
      <c r="A267" s="5">
        <v>492</v>
      </c>
      <c r="B267" s="19" t="s">
        <v>151</v>
      </c>
      <c r="C267" s="19" t="s">
        <v>12</v>
      </c>
      <c r="D267" s="5" t="s">
        <v>152</v>
      </c>
      <c r="E267" s="6">
        <v>366979.46019965998</v>
      </c>
      <c r="F267" s="6">
        <v>6548639.0576742003</v>
      </c>
      <c r="G267" s="7" t="str">
        <f>HYPERLINK("https://minkarta.lantmateriet.se/?e=366979,46019966&amp;n=6548639,0576742&amp;z=12&amp;profile=flygbildmedgranser&amp;background=2&amp;boundaries=true","Visa")</f>
        <v>Visa</v>
      </c>
      <c r="H267" s="5" t="s">
        <v>16</v>
      </c>
      <c r="I267" s="8">
        <v>41.79383</v>
      </c>
      <c r="J267" s="9">
        <v>48.759070000000001</v>
      </c>
      <c r="K267" s="9">
        <v>50.213030000000003</v>
      </c>
      <c r="L267" s="14">
        <v>42.743850000000002</v>
      </c>
      <c r="M267" s="9">
        <v>49.258560000000003</v>
      </c>
      <c r="N267" s="9">
        <v>52.729219999999998</v>
      </c>
      <c r="O267" s="14">
        <v>43.822040000000001</v>
      </c>
      <c r="P267" s="9">
        <v>50.243380000000002</v>
      </c>
      <c r="Q267" s="9">
        <v>53.09796</v>
      </c>
      <c r="R267" s="23">
        <v>43.3508</v>
      </c>
      <c r="S267" s="8">
        <v>1.07819</v>
      </c>
      <c r="T267" s="9">
        <v>0.98482000000000003</v>
      </c>
      <c r="U267" s="24">
        <v>0.36874000000000001</v>
      </c>
    </row>
    <row r="268" spans="1:21" ht="12" customHeight="1" x14ac:dyDescent="0.25">
      <c r="A268" s="5">
        <v>493</v>
      </c>
      <c r="B268" s="19" t="s">
        <v>153</v>
      </c>
      <c r="C268" s="19" t="s">
        <v>12</v>
      </c>
      <c r="D268" s="5" t="s">
        <v>154</v>
      </c>
      <c r="E268" s="6">
        <v>367010.64811622002</v>
      </c>
      <c r="F268" s="6">
        <v>6548651.3454996003</v>
      </c>
      <c r="G268" s="7" t="str">
        <f>HYPERLINK("https://minkarta.lantmateriet.se/?e=367010,64811622&amp;n=6548651,3454996&amp;z=12&amp;profile=flygbildmedgranser&amp;background=2&amp;boundaries=true","Visa")</f>
        <v>Visa</v>
      </c>
      <c r="H268" s="5" t="s">
        <v>15</v>
      </c>
      <c r="I268" s="8">
        <v>41.548459999999999</v>
      </c>
      <c r="J268" s="9">
        <v>43.912289999999999</v>
      </c>
      <c r="K268" s="9">
        <v>45.577809999999999</v>
      </c>
      <c r="L268" s="14">
        <v>42.475619999999999</v>
      </c>
      <c r="M268" s="9">
        <v>44.411790000000003</v>
      </c>
      <c r="N268" s="9">
        <v>47.882449999999999</v>
      </c>
      <c r="O268" s="14">
        <v>43.299109999999999</v>
      </c>
      <c r="P268" s="9">
        <v>44.967219999999998</v>
      </c>
      <c r="Q268" s="9">
        <v>47.16601</v>
      </c>
      <c r="R268" s="23">
        <v>43.142560000000003</v>
      </c>
      <c r="S268" s="8">
        <v>0.82349000000000006</v>
      </c>
      <c r="T268" s="9">
        <v>0.55542999999999998</v>
      </c>
      <c r="U268" s="24">
        <v>-0.71643999999999997</v>
      </c>
    </row>
    <row r="269" spans="1:21" ht="12" customHeight="1" x14ac:dyDescent="0.25">
      <c r="A269" s="5">
        <v>494</v>
      </c>
      <c r="B269" s="19" t="s">
        <v>153</v>
      </c>
      <c r="C269" s="19" t="s">
        <v>12</v>
      </c>
      <c r="D269" s="5" t="s">
        <v>154</v>
      </c>
      <c r="E269" s="6">
        <v>367012.56450868002</v>
      </c>
      <c r="F269" s="6">
        <v>6548653.7331010001</v>
      </c>
      <c r="G269" s="7" t="str">
        <f>HYPERLINK("https://minkarta.lantmateriet.se/?e=367012,56450868&amp;n=6548653,733101&amp;z=12&amp;profile=flygbildmedgranser&amp;background=2&amp;boundaries=true","Visa")</f>
        <v>Visa</v>
      </c>
      <c r="H269" s="5" t="s">
        <v>13</v>
      </c>
      <c r="I269" s="8">
        <v>33.935780000000001</v>
      </c>
      <c r="J269" s="9">
        <v>32.061010000000003</v>
      </c>
      <c r="K269" s="9">
        <v>33.629759999999997</v>
      </c>
      <c r="L269" s="14">
        <v>34.852110000000003</v>
      </c>
      <c r="M269" s="9">
        <v>32.517539999999997</v>
      </c>
      <c r="N269" s="9">
        <v>34.135260000000002</v>
      </c>
      <c r="O269" s="14">
        <v>35.253689999999999</v>
      </c>
      <c r="P269" s="9">
        <v>32.54862</v>
      </c>
      <c r="Q269" s="9">
        <v>34.164859999999997</v>
      </c>
      <c r="R269" s="23">
        <v>35.948749999999997</v>
      </c>
      <c r="S269" s="8">
        <v>0.40157999999999999</v>
      </c>
      <c r="T269" s="9">
        <v>3.108E-2</v>
      </c>
      <c r="U269" s="24">
        <v>2.9600000000000001E-2</v>
      </c>
    </row>
    <row r="270" spans="1:21" ht="12" customHeight="1" x14ac:dyDescent="0.25">
      <c r="A270" s="5">
        <v>495</v>
      </c>
      <c r="B270" s="19" t="s">
        <v>153</v>
      </c>
      <c r="C270" s="19" t="s">
        <v>12</v>
      </c>
      <c r="D270" s="5" t="s">
        <v>154</v>
      </c>
      <c r="E270" s="6">
        <v>367010.60450945998</v>
      </c>
      <c r="F270" s="6">
        <v>6548659.7180986004</v>
      </c>
      <c r="G270" s="7" t="str">
        <f>HYPERLINK("https://minkarta.lantmateriet.se/?e=367010,60450946&amp;n=6548659,7180986&amp;z=12&amp;profile=flygbildmedgranser&amp;background=2&amp;boundaries=true","Visa")</f>
        <v>Visa</v>
      </c>
      <c r="H270" s="5" t="s">
        <v>13</v>
      </c>
      <c r="I270" s="8">
        <v>34.359929999999999</v>
      </c>
      <c r="J270" s="9">
        <v>35.452590000000001</v>
      </c>
      <c r="K270" s="9">
        <v>37.021340000000002</v>
      </c>
      <c r="L270" s="14">
        <v>35.272449999999999</v>
      </c>
      <c r="M270" s="9">
        <v>35.909120000000001</v>
      </c>
      <c r="N270" s="9">
        <v>37.52684</v>
      </c>
      <c r="O270" s="14">
        <v>35.806789999999999</v>
      </c>
      <c r="P270" s="9">
        <v>35.940199999999997</v>
      </c>
      <c r="Q270" s="9">
        <v>37.556449999999998</v>
      </c>
      <c r="R270" s="23">
        <v>38.91872</v>
      </c>
      <c r="S270" s="8">
        <v>0.53434000000000004</v>
      </c>
      <c r="T270" s="9">
        <v>3.108E-2</v>
      </c>
      <c r="U270" s="24">
        <v>2.9610000000000001E-2</v>
      </c>
    </row>
    <row r="271" spans="1:21" ht="12" customHeight="1" x14ac:dyDescent="0.25">
      <c r="A271" s="5">
        <v>496</v>
      </c>
      <c r="B271" s="19" t="s">
        <v>153</v>
      </c>
      <c r="C271" s="19" t="s">
        <v>12</v>
      </c>
      <c r="D271" s="5" t="s">
        <v>154</v>
      </c>
      <c r="E271" s="6">
        <v>367007.73689156998</v>
      </c>
      <c r="F271" s="6">
        <v>6548660.2345062997</v>
      </c>
      <c r="G271" s="7" t="str">
        <f>HYPERLINK("https://minkarta.lantmateriet.se/?e=367007,73689157&amp;n=6548660,2345063&amp;z=12&amp;profile=flygbildmedgranser&amp;background=2&amp;boundaries=true","Visa")</f>
        <v>Visa</v>
      </c>
      <c r="H271" s="5" t="s">
        <v>14</v>
      </c>
      <c r="I271" s="8">
        <v>38.132950000000001</v>
      </c>
      <c r="J271" s="9">
        <v>42.419110000000003</v>
      </c>
      <c r="K271" s="9">
        <v>44.686610000000002</v>
      </c>
      <c r="L271" s="14">
        <v>39.036659999999998</v>
      </c>
      <c r="M271" s="9">
        <v>43.078989999999997</v>
      </c>
      <c r="N271" s="9">
        <v>45.417279999999998</v>
      </c>
      <c r="O271" s="14">
        <v>39.27261</v>
      </c>
      <c r="P271" s="9">
        <v>43.123919999999998</v>
      </c>
      <c r="Q271" s="9">
        <v>45.460070000000002</v>
      </c>
      <c r="R271" s="23">
        <v>34.668419999999998</v>
      </c>
      <c r="S271" s="8">
        <v>0.23594999999999999</v>
      </c>
      <c r="T271" s="9">
        <v>4.4929999999999998E-2</v>
      </c>
      <c r="U271" s="24">
        <v>4.2790000000000002E-2</v>
      </c>
    </row>
    <row r="272" spans="1:21" ht="12" customHeight="1" x14ac:dyDescent="0.25">
      <c r="A272" s="5">
        <v>497</v>
      </c>
      <c r="B272" s="19" t="s">
        <v>153</v>
      </c>
      <c r="C272" s="19" t="s">
        <v>12</v>
      </c>
      <c r="D272" s="5" t="s">
        <v>154</v>
      </c>
      <c r="E272" s="6">
        <v>367005.75550729001</v>
      </c>
      <c r="F272" s="6">
        <v>6548658.0518603995</v>
      </c>
      <c r="G272" s="7" t="str">
        <f>HYPERLINK("https://minkarta.lantmateriet.se/?e=367005,75550729&amp;n=6548658,0518604&amp;z=12&amp;profile=flygbildmedgranser&amp;background=2&amp;boundaries=true","Visa")</f>
        <v>Visa</v>
      </c>
      <c r="H272" s="5" t="s">
        <v>16</v>
      </c>
      <c r="I272" s="8">
        <v>41.29889</v>
      </c>
      <c r="J272" s="9">
        <v>44.909910000000004</v>
      </c>
      <c r="K272" s="9">
        <v>47.11936</v>
      </c>
      <c r="L272" s="14">
        <v>42.221319999999999</v>
      </c>
      <c r="M272" s="9">
        <v>45.530149999999999</v>
      </c>
      <c r="N272" s="9">
        <v>48.826830000000001</v>
      </c>
      <c r="O272" s="14">
        <v>43.088610000000003</v>
      </c>
      <c r="P272" s="9">
        <v>45.571280000000002</v>
      </c>
      <c r="Q272" s="9">
        <v>48.188850000000002</v>
      </c>
      <c r="R272" s="23">
        <v>41.634990000000002</v>
      </c>
      <c r="S272" s="8">
        <v>0.86729000000000001</v>
      </c>
      <c r="T272" s="9">
        <v>4.113E-2</v>
      </c>
      <c r="U272" s="24">
        <v>-0.63797999999999999</v>
      </c>
    </row>
    <row r="273" spans="1:21" ht="12" customHeight="1" x14ac:dyDescent="0.25">
      <c r="A273" s="5">
        <v>498</v>
      </c>
      <c r="B273" s="19" t="s">
        <v>153</v>
      </c>
      <c r="C273" s="19" t="s">
        <v>12</v>
      </c>
      <c r="D273" s="5" t="s">
        <v>154</v>
      </c>
      <c r="E273" s="6">
        <v>367005.34549442999</v>
      </c>
      <c r="F273" s="6">
        <v>6548654.5468996</v>
      </c>
      <c r="G273" s="7" t="str">
        <f>HYPERLINK("https://minkarta.lantmateriet.se/?e=367005,34549443&amp;n=6548654,5468996&amp;z=12&amp;profile=flygbildmedgranser&amp;background=2&amp;boundaries=true","Visa")</f>
        <v>Visa</v>
      </c>
      <c r="H273" s="5" t="s">
        <v>16</v>
      </c>
      <c r="I273" s="8">
        <v>42.83963</v>
      </c>
      <c r="J273" s="9">
        <v>45.158540000000002</v>
      </c>
      <c r="K273" s="9">
        <v>46.612499999999997</v>
      </c>
      <c r="L273" s="14">
        <v>43.765639999999998</v>
      </c>
      <c r="M273" s="9">
        <v>45.658029999999997</v>
      </c>
      <c r="N273" s="9">
        <v>49.128689999999999</v>
      </c>
      <c r="O273" s="14">
        <v>44.442140000000002</v>
      </c>
      <c r="P273" s="9">
        <v>46.642850000000003</v>
      </c>
      <c r="Q273" s="9">
        <v>49.497430000000001</v>
      </c>
      <c r="R273" s="23">
        <v>41.609259999999999</v>
      </c>
      <c r="S273" s="8">
        <v>0.67649999999999999</v>
      </c>
      <c r="T273" s="9">
        <v>0.98482000000000003</v>
      </c>
      <c r="U273" s="24">
        <v>0.36874000000000001</v>
      </c>
    </row>
    <row r="274" spans="1:21" ht="12" customHeight="1" x14ac:dyDescent="0.25">
      <c r="A274" s="5">
        <v>499</v>
      </c>
      <c r="B274" s="19" t="s">
        <v>153</v>
      </c>
      <c r="C274" s="19" t="s">
        <v>12</v>
      </c>
      <c r="D274" s="5" t="s">
        <v>154</v>
      </c>
      <c r="E274" s="6">
        <v>367007.75549721002</v>
      </c>
      <c r="F274" s="6">
        <v>6548651.9468911001</v>
      </c>
      <c r="G274" s="7" t="str">
        <f>HYPERLINK("https://minkarta.lantmateriet.se/?e=367007,75549721&amp;n=6548651,9468911&amp;z=12&amp;profile=flygbildmedgranser&amp;background=2&amp;boundaries=true","Visa")</f>
        <v>Visa</v>
      </c>
      <c r="H274" s="5" t="s">
        <v>16</v>
      </c>
      <c r="I274" s="8">
        <v>42.663679999999999</v>
      </c>
      <c r="J274" s="9">
        <v>44.191879999999998</v>
      </c>
      <c r="K274" s="9">
        <v>45.64584</v>
      </c>
      <c r="L274" s="14">
        <v>43.575699999999998</v>
      </c>
      <c r="M274" s="9">
        <v>44.691380000000002</v>
      </c>
      <c r="N274" s="9">
        <v>48.162030000000001</v>
      </c>
      <c r="O274" s="14">
        <v>44.225450000000002</v>
      </c>
      <c r="P274" s="9">
        <v>45.106560000000002</v>
      </c>
      <c r="Q274" s="9">
        <v>47.355289999999997</v>
      </c>
      <c r="R274" s="23">
        <v>40.5901</v>
      </c>
      <c r="S274" s="8">
        <v>0.64975000000000005</v>
      </c>
      <c r="T274" s="9">
        <v>0.41517999999999999</v>
      </c>
      <c r="U274" s="24">
        <v>-0.80674000000000001</v>
      </c>
    </row>
    <row r="275" spans="1:21" ht="12" customHeight="1" x14ac:dyDescent="0.25">
      <c r="A275" s="5">
        <v>500</v>
      </c>
      <c r="B275" s="19" t="s">
        <v>155</v>
      </c>
      <c r="C275" s="19" t="s">
        <v>12</v>
      </c>
      <c r="D275" s="5" t="s">
        <v>156</v>
      </c>
      <c r="E275" s="6">
        <v>367011.52862611</v>
      </c>
      <c r="F275" s="6">
        <v>6548627.9644251</v>
      </c>
      <c r="G275" s="7" t="str">
        <f>HYPERLINK("https://minkarta.lantmateriet.se/?e=367011,52862611&amp;n=6548627,9644251&amp;z=12&amp;profile=flygbildmedgranser&amp;background=2&amp;boundaries=true","Visa")</f>
        <v>Visa</v>
      </c>
      <c r="H275" s="5" t="s">
        <v>16</v>
      </c>
      <c r="I275" s="8">
        <v>42.029359999999997</v>
      </c>
      <c r="J275" s="9">
        <v>47.455759999999998</v>
      </c>
      <c r="K275" s="9">
        <v>48.90972</v>
      </c>
      <c r="L275" s="14">
        <v>42.944710000000001</v>
      </c>
      <c r="M275" s="9">
        <v>47.955249999999999</v>
      </c>
      <c r="N275" s="9">
        <v>51.425910000000002</v>
      </c>
      <c r="O275" s="14">
        <v>43.854399999999998</v>
      </c>
      <c r="P275" s="9">
        <v>48.934600000000003</v>
      </c>
      <c r="Q275" s="9">
        <v>51.789169999999999</v>
      </c>
      <c r="R275" s="23">
        <v>42.261310000000002</v>
      </c>
      <c r="S275" s="8">
        <v>0.90969</v>
      </c>
      <c r="T275" s="9">
        <v>0.97935000000000005</v>
      </c>
      <c r="U275" s="24">
        <v>0.36326000000000003</v>
      </c>
    </row>
    <row r="276" spans="1:21" ht="12" customHeight="1" x14ac:dyDescent="0.25">
      <c r="A276" s="5">
        <v>501</v>
      </c>
      <c r="B276" s="19" t="s">
        <v>155</v>
      </c>
      <c r="C276" s="19" t="s">
        <v>12</v>
      </c>
      <c r="D276" s="5" t="s">
        <v>156</v>
      </c>
      <c r="E276" s="6">
        <v>367014.6640778</v>
      </c>
      <c r="F276" s="6">
        <v>6548626.6921271002</v>
      </c>
      <c r="G276" s="7" t="str">
        <f>HYPERLINK("https://minkarta.lantmateriet.se/?e=367014,6640778&amp;n=6548626,6921271&amp;z=12&amp;profile=flygbildmedgranser&amp;background=2&amp;boundaries=true","Visa")</f>
        <v>Visa</v>
      </c>
      <c r="H276" s="5" t="s">
        <v>15</v>
      </c>
      <c r="I276" s="8">
        <v>41.230710000000002</v>
      </c>
      <c r="J276" s="9">
        <v>47.536160000000002</v>
      </c>
      <c r="K276" s="9">
        <v>48.990119999999997</v>
      </c>
      <c r="L276" s="14">
        <v>42.143120000000003</v>
      </c>
      <c r="M276" s="9">
        <v>48.03566</v>
      </c>
      <c r="N276" s="9">
        <v>51.506320000000002</v>
      </c>
      <c r="O276" s="14">
        <v>43.155929999999998</v>
      </c>
      <c r="P276" s="9">
        <v>49.020470000000003</v>
      </c>
      <c r="Q276" s="9">
        <v>51.875050000000002</v>
      </c>
      <c r="R276" s="23">
        <v>41.9681</v>
      </c>
      <c r="S276" s="8">
        <v>1.01281</v>
      </c>
      <c r="T276" s="9">
        <v>0.98480999999999996</v>
      </c>
      <c r="U276" s="24">
        <v>0.36873</v>
      </c>
    </row>
    <row r="277" spans="1:21" ht="12" customHeight="1" x14ac:dyDescent="0.25">
      <c r="A277" s="5">
        <v>502</v>
      </c>
      <c r="B277" s="19" t="s">
        <v>155</v>
      </c>
      <c r="C277" s="19" t="s">
        <v>12</v>
      </c>
      <c r="D277" s="5" t="s">
        <v>156</v>
      </c>
      <c r="E277" s="6">
        <v>367016.7133761</v>
      </c>
      <c r="F277" s="6">
        <v>6548632.2260774998</v>
      </c>
      <c r="G277" s="7" t="str">
        <f>HYPERLINK("https://minkarta.lantmateriet.se/?e=367016,7133761&amp;n=6548632,2260775&amp;z=12&amp;profile=flygbildmedgranser&amp;background=2&amp;boundaries=true","Visa")</f>
        <v>Visa</v>
      </c>
      <c r="H277" s="5" t="s">
        <v>13</v>
      </c>
      <c r="I277" s="8">
        <v>36.153829999999999</v>
      </c>
      <c r="J277" s="9">
        <v>41.69511</v>
      </c>
      <c r="K277" s="9">
        <v>43.962609999999998</v>
      </c>
      <c r="L277" s="14">
        <v>37.051070000000003</v>
      </c>
      <c r="M277" s="9">
        <v>42.354990000000001</v>
      </c>
      <c r="N277" s="9">
        <v>44.693280000000001</v>
      </c>
      <c r="O277" s="14">
        <v>37.67548</v>
      </c>
      <c r="P277" s="9">
        <v>42.399909999999998</v>
      </c>
      <c r="Q277" s="9">
        <v>44.736060000000002</v>
      </c>
      <c r="R277" s="23">
        <v>37.155270000000002</v>
      </c>
      <c r="S277" s="8">
        <v>0.62441000000000002</v>
      </c>
      <c r="T277" s="9">
        <v>4.4920000000000002E-2</v>
      </c>
      <c r="U277" s="24">
        <v>4.2779999999999999E-2</v>
      </c>
    </row>
    <row r="278" spans="1:21" ht="12" customHeight="1" x14ac:dyDescent="0.25">
      <c r="A278" s="5">
        <v>503</v>
      </c>
      <c r="B278" s="19" t="s">
        <v>155</v>
      </c>
      <c r="C278" s="19" t="s">
        <v>12</v>
      </c>
      <c r="D278" s="5" t="s">
        <v>156</v>
      </c>
      <c r="E278" s="6">
        <v>367013.04342616</v>
      </c>
      <c r="F278" s="6">
        <v>6548636.8473771997</v>
      </c>
      <c r="G278" s="7" t="str">
        <f>HYPERLINK("https://minkarta.lantmateriet.se/?e=367013,04342616&amp;n=6548636,8473772&amp;z=12&amp;profile=flygbildmedgranser&amp;background=2&amp;boundaries=true","Visa")</f>
        <v>Visa</v>
      </c>
      <c r="H278" s="5" t="s">
        <v>14</v>
      </c>
      <c r="I278" s="8">
        <v>37.962989999999998</v>
      </c>
      <c r="J278" s="9">
        <v>42.720840000000003</v>
      </c>
      <c r="K278" s="9">
        <v>44.988340000000001</v>
      </c>
      <c r="L278" s="14">
        <v>38.875149999999998</v>
      </c>
      <c r="M278" s="9">
        <v>43.380710000000001</v>
      </c>
      <c r="N278" s="9">
        <v>45.719000000000001</v>
      </c>
      <c r="O278" s="14">
        <v>39.083379999999998</v>
      </c>
      <c r="P278" s="9">
        <v>43.425640000000001</v>
      </c>
      <c r="Q278" s="9">
        <v>45.761789999999998</v>
      </c>
      <c r="R278" s="23">
        <v>30.240600000000001</v>
      </c>
      <c r="S278" s="8">
        <v>0.20823</v>
      </c>
      <c r="T278" s="9">
        <v>4.4929999999999998E-2</v>
      </c>
      <c r="U278" s="24">
        <v>4.2790000000000002E-2</v>
      </c>
    </row>
    <row r="279" spans="1:21" ht="12" customHeight="1" x14ac:dyDescent="0.25">
      <c r="A279" s="5">
        <v>504</v>
      </c>
      <c r="B279" s="19" t="s">
        <v>155</v>
      </c>
      <c r="C279" s="19" t="s">
        <v>12</v>
      </c>
      <c r="D279" s="5" t="s">
        <v>156</v>
      </c>
      <c r="E279" s="6">
        <v>367010.43912559003</v>
      </c>
      <c r="F279" s="6">
        <v>6548634.7874283995</v>
      </c>
      <c r="G279" s="7" t="str">
        <f>HYPERLINK("https://minkarta.lantmateriet.se/?e=367010,43912559&amp;n=6548634,7874284&amp;z=12&amp;profile=flygbildmedgranser&amp;background=2&amp;boundaries=true","Visa")</f>
        <v>Visa</v>
      </c>
      <c r="H279" s="5" t="s">
        <v>16</v>
      </c>
      <c r="I279" s="8">
        <v>40.668640000000003</v>
      </c>
      <c r="J279" s="9">
        <v>43.612079999999999</v>
      </c>
      <c r="K279" s="9">
        <v>45.18083</v>
      </c>
      <c r="L279" s="14">
        <v>41.57199</v>
      </c>
      <c r="M279" s="9">
        <v>44.06861</v>
      </c>
      <c r="N279" s="9">
        <v>45.686329999999998</v>
      </c>
      <c r="O279" s="14">
        <v>41.831249999999997</v>
      </c>
      <c r="P279" s="9">
        <v>44.099690000000002</v>
      </c>
      <c r="Q279" s="9">
        <v>45.71593</v>
      </c>
      <c r="R279" s="23">
        <v>32.214469999999999</v>
      </c>
      <c r="S279" s="8">
        <v>0.25925999999999999</v>
      </c>
      <c r="T279" s="9">
        <v>3.108E-2</v>
      </c>
      <c r="U279" s="24">
        <v>2.9600000000000001E-2</v>
      </c>
    </row>
    <row r="280" spans="1:21" ht="12" customHeight="1" x14ac:dyDescent="0.25">
      <c r="A280" s="5">
        <v>505</v>
      </c>
      <c r="B280" s="19" t="s">
        <v>155</v>
      </c>
      <c r="C280" s="19" t="s">
        <v>12</v>
      </c>
      <c r="D280" s="5" t="s">
        <v>156</v>
      </c>
      <c r="E280" s="6">
        <v>367009.03812581999</v>
      </c>
      <c r="F280" s="6">
        <v>6548631.1299269004</v>
      </c>
      <c r="G280" s="7" t="str">
        <f>HYPERLINK("https://minkarta.lantmateriet.se/?e=367009,03812582&amp;n=6548631,1299269&amp;z=12&amp;profile=flygbildmedgranser&amp;background=2&amp;boundaries=true","Visa")</f>
        <v>Visa</v>
      </c>
      <c r="H280" s="5" t="s">
        <v>16</v>
      </c>
      <c r="I280" s="8">
        <v>42.10754</v>
      </c>
      <c r="J280" s="9">
        <v>49.694470000000003</v>
      </c>
      <c r="K280" s="9">
        <v>51.148440000000001</v>
      </c>
      <c r="L280" s="14">
        <v>43.033360000000002</v>
      </c>
      <c r="M280" s="9">
        <v>50.19397</v>
      </c>
      <c r="N280" s="9">
        <v>53.664630000000002</v>
      </c>
      <c r="O280" s="14">
        <v>43.508090000000003</v>
      </c>
      <c r="P280" s="9">
        <v>51.178789999999999</v>
      </c>
      <c r="Q280" s="9">
        <v>54.033369999999998</v>
      </c>
      <c r="R280" s="23">
        <v>42.779649999999997</v>
      </c>
      <c r="S280" s="8">
        <v>0.47472999999999999</v>
      </c>
      <c r="T280" s="9">
        <v>0.98482000000000003</v>
      </c>
      <c r="U280" s="24">
        <v>0.36874000000000001</v>
      </c>
    </row>
    <row r="281" spans="1:21" ht="12" customHeight="1" x14ac:dyDescent="0.25">
      <c r="A281" s="5">
        <v>506</v>
      </c>
      <c r="B281" s="19" t="s">
        <v>157</v>
      </c>
      <c r="C281" s="19" t="s">
        <v>12</v>
      </c>
      <c r="D281" s="5" t="s">
        <v>158</v>
      </c>
      <c r="E281" s="6">
        <v>367000.50999102002</v>
      </c>
      <c r="F281" s="6">
        <v>6548601.7961167004</v>
      </c>
      <c r="G281" s="7" t="str">
        <f>HYPERLINK("https://minkarta.lantmateriet.se/?e=367000,50999102&amp;n=6548601,7961167&amp;z=12&amp;profile=flygbildmedgranser&amp;background=2&amp;boundaries=true","Visa")</f>
        <v>Visa</v>
      </c>
      <c r="H281" s="5" t="s">
        <v>15</v>
      </c>
      <c r="I281" s="8">
        <v>45.025550000000003</v>
      </c>
      <c r="J281" s="9">
        <v>54.937950000000001</v>
      </c>
      <c r="K281" s="9">
        <v>56.391910000000003</v>
      </c>
      <c r="L281" s="14">
        <v>45.94529</v>
      </c>
      <c r="M281" s="9">
        <v>55.437440000000002</v>
      </c>
      <c r="N281" s="9">
        <v>58.908099999999997</v>
      </c>
      <c r="O281" s="14">
        <v>47.050350000000002</v>
      </c>
      <c r="P281" s="9">
        <v>55.860610000000001</v>
      </c>
      <c r="Q281" s="9">
        <v>58.71519</v>
      </c>
      <c r="R281" s="23">
        <v>44.779389999999999</v>
      </c>
      <c r="S281" s="8">
        <v>1.1050599999999999</v>
      </c>
      <c r="T281" s="9">
        <v>0.42316999999999999</v>
      </c>
      <c r="U281" s="24">
        <v>-0.19291</v>
      </c>
    </row>
    <row r="282" spans="1:21" ht="12" customHeight="1" x14ac:dyDescent="0.25">
      <c r="A282" s="5">
        <v>507</v>
      </c>
      <c r="B282" s="19" t="s">
        <v>157</v>
      </c>
      <c r="C282" s="19" t="s">
        <v>12</v>
      </c>
      <c r="D282" s="5" t="s">
        <v>158</v>
      </c>
      <c r="E282" s="6">
        <v>367002.26711587003</v>
      </c>
      <c r="F282" s="6">
        <v>6548598.8070133999</v>
      </c>
      <c r="G282" s="7" t="str">
        <f>HYPERLINK("https://minkarta.lantmateriet.se/?e=367002,26711587&amp;n=6548598,8070134&amp;z=12&amp;profile=flygbildmedgranser&amp;background=2&amp;boundaries=true","Visa")</f>
        <v>Visa</v>
      </c>
      <c r="H282" s="5" t="s">
        <v>16</v>
      </c>
      <c r="I282" s="8">
        <v>44.583710000000004</v>
      </c>
      <c r="J282" s="9">
        <v>54.409469999999999</v>
      </c>
      <c r="K282" s="9">
        <v>55.863430000000001</v>
      </c>
      <c r="L282" s="14">
        <v>45.512039999999999</v>
      </c>
      <c r="M282" s="9">
        <v>54.908969999999997</v>
      </c>
      <c r="N282" s="9">
        <v>58.379620000000003</v>
      </c>
      <c r="O282" s="14">
        <v>46.482219999999998</v>
      </c>
      <c r="P282" s="9">
        <v>56.241909999999997</v>
      </c>
      <c r="Q282" s="9">
        <v>59.09648</v>
      </c>
      <c r="R282" s="23">
        <v>44.515450000000001</v>
      </c>
      <c r="S282" s="8">
        <v>0.97018000000000004</v>
      </c>
      <c r="T282" s="9">
        <v>1.33294</v>
      </c>
      <c r="U282" s="24">
        <v>0.71686000000000005</v>
      </c>
    </row>
    <row r="283" spans="1:21" ht="12" customHeight="1" x14ac:dyDescent="0.25">
      <c r="A283" s="5">
        <v>508</v>
      </c>
      <c r="B283" s="19" t="s">
        <v>157</v>
      </c>
      <c r="C283" s="19" t="s">
        <v>12</v>
      </c>
      <c r="D283" s="5" t="s">
        <v>158</v>
      </c>
      <c r="E283" s="6">
        <v>367005.51349082001</v>
      </c>
      <c r="F283" s="6">
        <v>6548595.5701166997</v>
      </c>
      <c r="G283" s="7" t="str">
        <f>HYPERLINK("https://minkarta.lantmateriet.se/?e=367005,51349082&amp;n=6548595,5701167&amp;z=12&amp;profile=flygbildmedgranser&amp;background=2&amp;boundaries=true","Visa")</f>
        <v>Visa</v>
      </c>
      <c r="H283" s="5" t="s">
        <v>15</v>
      </c>
      <c r="I283" s="8">
        <v>43.008150000000001</v>
      </c>
      <c r="J283" s="9">
        <v>48.948860000000003</v>
      </c>
      <c r="K283" s="9">
        <v>50.402819999999998</v>
      </c>
      <c r="L283" s="14">
        <v>43.917789999999997</v>
      </c>
      <c r="M283" s="9">
        <v>49.448360000000001</v>
      </c>
      <c r="N283" s="9">
        <v>52.91901</v>
      </c>
      <c r="O283" s="14">
        <v>44.75553</v>
      </c>
      <c r="P283" s="9">
        <v>50.222929999999998</v>
      </c>
      <c r="Q283" s="9">
        <v>53.077509999999997</v>
      </c>
      <c r="R283" s="23">
        <v>42.105879999999999</v>
      </c>
      <c r="S283" s="8">
        <v>0.83774000000000004</v>
      </c>
      <c r="T283" s="9">
        <v>0.77456999999999998</v>
      </c>
      <c r="U283" s="24">
        <v>0.1585</v>
      </c>
    </row>
    <row r="284" spans="1:21" ht="12" customHeight="1" x14ac:dyDescent="0.25">
      <c r="A284" s="5">
        <v>509</v>
      </c>
      <c r="B284" s="19" t="s">
        <v>157</v>
      </c>
      <c r="C284" s="19" t="s">
        <v>12</v>
      </c>
      <c r="D284" s="5" t="s">
        <v>158</v>
      </c>
      <c r="E284" s="6">
        <v>367010.34038632998</v>
      </c>
      <c r="F284" s="6">
        <v>6548602.6774920002</v>
      </c>
      <c r="G284" s="7" t="str">
        <f>HYPERLINK("https://minkarta.lantmateriet.se/?e=367010,34038633&amp;n=6548602,677492&amp;z=12&amp;profile=flygbildmedgranser&amp;background=2&amp;boundaries=true","Visa")</f>
        <v>Visa</v>
      </c>
      <c r="H284" s="5" t="s">
        <v>13</v>
      </c>
      <c r="I284" s="8">
        <v>38.894889999999997</v>
      </c>
      <c r="J284" s="9">
        <v>42.430320000000002</v>
      </c>
      <c r="K284" s="9">
        <v>44.69782</v>
      </c>
      <c r="L284" s="14">
        <v>39.787590000000002</v>
      </c>
      <c r="M284" s="9">
        <v>43.090200000000003</v>
      </c>
      <c r="N284" s="9">
        <v>45.428489999999996</v>
      </c>
      <c r="O284" s="14">
        <v>39.966900000000003</v>
      </c>
      <c r="P284" s="9">
        <v>43.135120000000001</v>
      </c>
      <c r="Q284" s="9">
        <v>45.471269999999997</v>
      </c>
      <c r="R284" s="23">
        <v>31.530439999999999</v>
      </c>
      <c r="S284" s="8">
        <v>0.17931</v>
      </c>
      <c r="T284" s="9">
        <v>4.4920000000000002E-2</v>
      </c>
      <c r="U284" s="24">
        <v>4.2779999999999999E-2</v>
      </c>
    </row>
    <row r="285" spans="1:21" ht="12" customHeight="1" x14ac:dyDescent="0.25">
      <c r="A285" s="5">
        <v>510</v>
      </c>
      <c r="B285" s="19" t="s">
        <v>157</v>
      </c>
      <c r="C285" s="19" t="s">
        <v>12</v>
      </c>
      <c r="D285" s="5" t="s">
        <v>158</v>
      </c>
      <c r="E285" s="6">
        <v>367007.85500965</v>
      </c>
      <c r="F285" s="6">
        <v>6548610.9013874996</v>
      </c>
      <c r="G285" s="7" t="str">
        <f>HYPERLINK("https://minkarta.lantmateriet.se/?e=367007,85500965&amp;n=6548610,9013875&amp;z=12&amp;profile=flygbildmedgranser&amp;background=2&amp;boundaries=true","Visa")</f>
        <v>Visa</v>
      </c>
      <c r="H285" s="5" t="s">
        <v>14</v>
      </c>
      <c r="I285" s="8">
        <v>39.052190000000003</v>
      </c>
      <c r="J285" s="9">
        <v>41.318069999999999</v>
      </c>
      <c r="K285" s="9">
        <v>42.88682</v>
      </c>
      <c r="L285" s="14">
        <v>39.952469999999998</v>
      </c>
      <c r="M285" s="9">
        <v>41.7746</v>
      </c>
      <c r="N285" s="9">
        <v>43.392319999999998</v>
      </c>
      <c r="O285" s="14">
        <v>40.126370000000001</v>
      </c>
      <c r="P285" s="9">
        <v>41.805680000000002</v>
      </c>
      <c r="Q285" s="9">
        <v>43.42192</v>
      </c>
      <c r="R285" s="23">
        <v>31.428809999999999</v>
      </c>
      <c r="S285" s="8">
        <v>0.1739</v>
      </c>
      <c r="T285" s="9">
        <v>3.108E-2</v>
      </c>
      <c r="U285" s="24">
        <v>2.9600000000000001E-2</v>
      </c>
    </row>
    <row r="286" spans="1:21" ht="12" customHeight="1" x14ac:dyDescent="0.25">
      <c r="A286" s="5">
        <v>511</v>
      </c>
      <c r="B286" s="19" t="s">
        <v>157</v>
      </c>
      <c r="C286" s="19" t="s">
        <v>12</v>
      </c>
      <c r="D286" s="5" t="s">
        <v>158</v>
      </c>
      <c r="E286" s="6">
        <v>367004.02661469998</v>
      </c>
      <c r="F286" s="6">
        <v>6548610.3285057005</v>
      </c>
      <c r="G286" s="7" t="str">
        <f>HYPERLINK("https://minkarta.lantmateriet.se/?e=367004,0266147&amp;n=6548610,3285057&amp;z=12&amp;profile=flygbildmedgranser&amp;background=2&amp;boundaries=true","Visa")</f>
        <v>Visa</v>
      </c>
      <c r="H286" s="5" t="s">
        <v>16</v>
      </c>
      <c r="I286" s="8">
        <v>40.772979999999997</v>
      </c>
      <c r="J286" s="9">
        <v>43.386670000000002</v>
      </c>
      <c r="K286" s="9">
        <v>45.654170000000001</v>
      </c>
      <c r="L286" s="14">
        <v>41.667589999999997</v>
      </c>
      <c r="M286" s="9">
        <v>44.046550000000003</v>
      </c>
      <c r="N286" s="9">
        <v>46.384839999999997</v>
      </c>
      <c r="O286" s="14">
        <v>41.843629999999997</v>
      </c>
      <c r="P286" s="9">
        <v>44.091479999999997</v>
      </c>
      <c r="Q286" s="9">
        <v>46.427630000000001</v>
      </c>
      <c r="R286" s="23">
        <v>32.163589999999999</v>
      </c>
      <c r="S286" s="8">
        <v>0.17604</v>
      </c>
      <c r="T286" s="9">
        <v>4.4929999999999998E-2</v>
      </c>
      <c r="U286" s="24">
        <v>4.2790000000000002E-2</v>
      </c>
    </row>
    <row r="287" spans="1:21" ht="12" customHeight="1" x14ac:dyDescent="0.25">
      <c r="A287" s="5">
        <v>512</v>
      </c>
      <c r="B287" s="19" t="s">
        <v>157</v>
      </c>
      <c r="C287" s="19" t="s">
        <v>12</v>
      </c>
      <c r="D287" s="5" t="s">
        <v>158</v>
      </c>
      <c r="E287" s="6">
        <v>367001.69401098002</v>
      </c>
      <c r="F287" s="6">
        <v>6548609.5478873001</v>
      </c>
      <c r="G287" s="7" t="str">
        <f>HYPERLINK("https://minkarta.lantmateriet.se/?e=367001,69401098&amp;n=6548609,5478873&amp;z=12&amp;profile=flygbildmedgranser&amp;background=2&amp;boundaries=true","Visa")</f>
        <v>Visa</v>
      </c>
      <c r="H287" s="5" t="s">
        <v>14</v>
      </c>
      <c r="I287" s="8">
        <v>39.879600000000003</v>
      </c>
      <c r="J287" s="9">
        <v>44.11504</v>
      </c>
      <c r="K287" s="9">
        <v>45.683790000000002</v>
      </c>
      <c r="L287" s="14">
        <v>40.781190000000002</v>
      </c>
      <c r="M287" s="9">
        <v>44.571570000000001</v>
      </c>
      <c r="N287" s="9">
        <v>46.18929</v>
      </c>
      <c r="O287" s="14">
        <v>40.936059999999998</v>
      </c>
      <c r="P287" s="9">
        <v>44.602649999999997</v>
      </c>
      <c r="Q287" s="9">
        <v>46.218890000000002</v>
      </c>
      <c r="R287" s="23">
        <v>32.567439999999998</v>
      </c>
      <c r="S287" s="8">
        <v>0.15487000000000001</v>
      </c>
      <c r="T287" s="9">
        <v>3.108E-2</v>
      </c>
      <c r="U287" s="24">
        <v>2.9600000000000001E-2</v>
      </c>
    </row>
    <row r="288" spans="1:21" ht="12" customHeight="1" x14ac:dyDescent="0.25">
      <c r="A288" s="5">
        <v>513</v>
      </c>
      <c r="B288" s="19" t="s">
        <v>157</v>
      </c>
      <c r="C288" s="19" t="s">
        <v>12</v>
      </c>
      <c r="D288" s="5" t="s">
        <v>158</v>
      </c>
      <c r="E288" s="6">
        <v>366998.91861564998</v>
      </c>
      <c r="F288" s="6">
        <v>6548606.0055119004</v>
      </c>
      <c r="G288" s="7" t="str">
        <f>HYPERLINK("https://minkarta.lantmateriet.se/?e=366998,91861565&amp;n=6548606,0055119&amp;z=12&amp;profile=flygbildmedgranser&amp;background=2&amp;boundaries=true","Visa")</f>
        <v>Visa</v>
      </c>
      <c r="H288" s="5" t="s">
        <v>16</v>
      </c>
      <c r="I288" s="8">
        <v>43.324379999999998</v>
      </c>
      <c r="J288" s="9">
        <v>53.062640000000002</v>
      </c>
      <c r="K288" s="9">
        <v>54.516599999999997</v>
      </c>
      <c r="L288" s="14">
        <v>44.264530000000001</v>
      </c>
      <c r="M288" s="9">
        <v>53.562130000000003</v>
      </c>
      <c r="N288" s="9">
        <v>57.032789999999999</v>
      </c>
      <c r="O288" s="14">
        <v>45.099310000000003</v>
      </c>
      <c r="P288" s="9">
        <v>54.578409999999998</v>
      </c>
      <c r="Q288" s="9">
        <v>57.432980000000001</v>
      </c>
      <c r="R288" s="23">
        <v>43.367919999999998</v>
      </c>
      <c r="S288" s="8">
        <v>0.83477999999999997</v>
      </c>
      <c r="T288" s="9">
        <v>1.0162800000000001</v>
      </c>
      <c r="U288" s="24">
        <v>0.40018999999999999</v>
      </c>
    </row>
    <row r="289" spans="1:21" ht="12" customHeight="1" x14ac:dyDescent="0.25">
      <c r="A289" s="5">
        <v>514</v>
      </c>
      <c r="B289" s="19" t="s">
        <v>159</v>
      </c>
      <c r="C289" s="19" t="s">
        <v>12</v>
      </c>
      <c r="D289" s="5" t="s">
        <v>160</v>
      </c>
      <c r="E289" s="6">
        <v>367000.67189454997</v>
      </c>
      <c r="F289" s="6">
        <v>6548573.2893476002</v>
      </c>
      <c r="G289" s="7" t="str">
        <f>HYPERLINK("https://minkarta.lantmateriet.se/?e=367000,67189455&amp;n=6548573,2893476&amp;z=12&amp;profile=flygbildmedgranser&amp;background=2&amp;boundaries=true","Visa")</f>
        <v>Visa</v>
      </c>
      <c r="H289" s="5" t="s">
        <v>15</v>
      </c>
      <c r="I289" s="8">
        <v>44.304900000000004</v>
      </c>
      <c r="J289" s="9">
        <v>48.599440000000001</v>
      </c>
      <c r="K289" s="9">
        <v>50.05341</v>
      </c>
      <c r="L289" s="14">
        <v>45.219540000000002</v>
      </c>
      <c r="M289" s="9">
        <v>49.098939999999999</v>
      </c>
      <c r="N289" s="9">
        <v>52.569600000000001</v>
      </c>
      <c r="O289" s="14">
        <v>45.951210000000003</v>
      </c>
      <c r="P289" s="9">
        <v>50.083759999999998</v>
      </c>
      <c r="Q289" s="9">
        <v>52.938330000000001</v>
      </c>
      <c r="R289" s="23">
        <v>42.390729999999998</v>
      </c>
      <c r="S289" s="8">
        <v>0.73167000000000004</v>
      </c>
      <c r="T289" s="9">
        <v>0.98482000000000003</v>
      </c>
      <c r="U289" s="24">
        <v>0.36873</v>
      </c>
    </row>
    <row r="290" spans="1:21" ht="12" customHeight="1" x14ac:dyDescent="0.25">
      <c r="A290" s="5">
        <v>515</v>
      </c>
      <c r="B290" s="19" t="s">
        <v>159</v>
      </c>
      <c r="C290" s="19" t="s">
        <v>12</v>
      </c>
      <c r="D290" s="5" t="s">
        <v>160</v>
      </c>
      <c r="E290" s="6">
        <v>367003.96615744999</v>
      </c>
      <c r="F290" s="6">
        <v>6548574.0944034001</v>
      </c>
      <c r="G290" s="7" t="str">
        <f>HYPERLINK("https://minkarta.lantmateriet.se/?e=367003,96615745&amp;n=6548574,0944034&amp;z=12&amp;profile=flygbildmedgranser&amp;background=2&amp;boundaries=true","Visa")</f>
        <v>Visa</v>
      </c>
      <c r="H290" s="5" t="s">
        <v>13</v>
      </c>
      <c r="I290" s="8">
        <v>40.04139</v>
      </c>
      <c r="J290" s="9">
        <v>49.171909999999997</v>
      </c>
      <c r="K290" s="9">
        <v>50.625869999999999</v>
      </c>
      <c r="L290" s="14">
        <v>40.951720000000002</v>
      </c>
      <c r="M290" s="9">
        <v>49.671410000000002</v>
      </c>
      <c r="N290" s="9">
        <v>53.142060000000001</v>
      </c>
      <c r="O290" s="14">
        <v>41.744669999999999</v>
      </c>
      <c r="P290" s="9">
        <v>50.656219999999998</v>
      </c>
      <c r="Q290" s="9">
        <v>53.510800000000003</v>
      </c>
      <c r="R290" s="23">
        <v>39.19003</v>
      </c>
      <c r="S290" s="8">
        <v>0.79295000000000004</v>
      </c>
      <c r="T290" s="9">
        <v>0.98480999999999996</v>
      </c>
      <c r="U290" s="24">
        <v>0.36874000000000001</v>
      </c>
    </row>
    <row r="291" spans="1:21" ht="12" customHeight="1" x14ac:dyDescent="0.25">
      <c r="A291" s="5">
        <v>516</v>
      </c>
      <c r="B291" s="19" t="s">
        <v>159</v>
      </c>
      <c r="C291" s="19" t="s">
        <v>12</v>
      </c>
      <c r="D291" s="5" t="s">
        <v>160</v>
      </c>
      <c r="E291" s="6">
        <v>367005.72015687998</v>
      </c>
      <c r="F291" s="6">
        <v>6548580.5809012</v>
      </c>
      <c r="G291" s="7" t="str">
        <f>HYPERLINK("https://minkarta.lantmateriet.se/?e=367005,72015688&amp;n=6548580,5809012&amp;z=12&amp;profile=flygbildmedgranser&amp;background=2&amp;boundaries=true","Visa")</f>
        <v>Visa</v>
      </c>
      <c r="H291" s="5" t="s">
        <v>13</v>
      </c>
      <c r="I291" s="8">
        <v>37.369419999999998</v>
      </c>
      <c r="J291" s="9">
        <v>45.415120000000002</v>
      </c>
      <c r="K291" s="9">
        <v>46.869079999999997</v>
      </c>
      <c r="L291" s="14">
        <v>38.289319999999996</v>
      </c>
      <c r="M291" s="9">
        <v>45.914619999999999</v>
      </c>
      <c r="N291" s="9">
        <v>49.385269999999998</v>
      </c>
      <c r="O291" s="14">
        <v>38.955759999999998</v>
      </c>
      <c r="P291" s="9">
        <v>46.995399999999997</v>
      </c>
      <c r="Q291" s="9">
        <v>49.75468</v>
      </c>
      <c r="R291" s="23">
        <v>41.094070000000002</v>
      </c>
      <c r="S291" s="8">
        <v>0.66644000000000003</v>
      </c>
      <c r="T291" s="9">
        <v>1.0807800000000001</v>
      </c>
      <c r="U291" s="24">
        <v>0.36941000000000002</v>
      </c>
    </row>
    <row r="292" spans="1:21" ht="12" customHeight="1" x14ac:dyDescent="0.25">
      <c r="A292" s="5">
        <v>517</v>
      </c>
      <c r="B292" s="19" t="s">
        <v>159</v>
      </c>
      <c r="C292" s="19" t="s">
        <v>12</v>
      </c>
      <c r="D292" s="5" t="s">
        <v>160</v>
      </c>
      <c r="E292" s="6">
        <v>367003.25960788003</v>
      </c>
      <c r="F292" s="6">
        <v>6548582.8706561998</v>
      </c>
      <c r="G292" s="7" t="str">
        <f>HYPERLINK("https://minkarta.lantmateriet.se/?e=367003,25960788&amp;n=6548582,8706562&amp;z=12&amp;profile=flygbildmedgranser&amp;background=2&amp;boundaries=true","Visa")</f>
        <v>Visa</v>
      </c>
      <c r="H292" s="5" t="s">
        <v>14</v>
      </c>
      <c r="I292" s="8">
        <v>39.314570000000003</v>
      </c>
      <c r="J292" s="9">
        <v>45.45675</v>
      </c>
      <c r="K292" s="9">
        <v>47.025500000000001</v>
      </c>
      <c r="L292" s="14">
        <v>40.228679999999997</v>
      </c>
      <c r="M292" s="9">
        <v>45.91328</v>
      </c>
      <c r="N292" s="9">
        <v>47.530999999999999</v>
      </c>
      <c r="O292" s="14">
        <v>40.384349999999998</v>
      </c>
      <c r="P292" s="9">
        <v>45.944360000000003</v>
      </c>
      <c r="Q292" s="9">
        <v>47.560600000000001</v>
      </c>
      <c r="R292" s="23">
        <v>31.210509999999999</v>
      </c>
      <c r="S292" s="8">
        <v>0.15567</v>
      </c>
      <c r="T292" s="9">
        <v>3.108E-2</v>
      </c>
      <c r="U292" s="24">
        <v>2.9600000000000001E-2</v>
      </c>
    </row>
    <row r="293" spans="1:21" ht="12" customHeight="1" x14ac:dyDescent="0.25">
      <c r="A293" s="5">
        <v>518</v>
      </c>
      <c r="B293" s="19" t="s">
        <v>159</v>
      </c>
      <c r="C293" s="19" t="s">
        <v>12</v>
      </c>
      <c r="D293" s="5" t="s">
        <v>160</v>
      </c>
      <c r="E293" s="6">
        <v>366999.09684702998</v>
      </c>
      <c r="F293" s="6">
        <v>6548578.8546097996</v>
      </c>
      <c r="G293" s="7" t="str">
        <f>HYPERLINK("https://minkarta.lantmateriet.se/?e=366999,09684703&amp;n=6548578,8546098&amp;z=12&amp;profile=flygbildmedgranser&amp;background=2&amp;boundaries=true","Visa")</f>
        <v>Visa</v>
      </c>
      <c r="H293" s="5" t="s">
        <v>16</v>
      </c>
      <c r="I293" s="8">
        <v>44.957979999999999</v>
      </c>
      <c r="J293" s="9">
        <v>53.900840000000002</v>
      </c>
      <c r="K293" s="9">
        <v>55.354810000000001</v>
      </c>
      <c r="L293" s="14">
        <v>45.888759999999998</v>
      </c>
      <c r="M293" s="9">
        <v>54.40034</v>
      </c>
      <c r="N293" s="9">
        <v>57.871000000000002</v>
      </c>
      <c r="O293" s="14">
        <v>46.82696</v>
      </c>
      <c r="P293" s="9">
        <v>55.385159999999999</v>
      </c>
      <c r="Q293" s="9">
        <v>58.239730000000002</v>
      </c>
      <c r="R293" s="23">
        <v>45.240549999999999</v>
      </c>
      <c r="S293" s="8">
        <v>0.93820000000000003</v>
      </c>
      <c r="T293" s="9">
        <v>0.98482000000000003</v>
      </c>
      <c r="U293" s="24">
        <v>0.36873</v>
      </c>
    </row>
    <row r="294" spans="1:21" ht="12" customHeight="1" x14ac:dyDescent="0.25">
      <c r="A294" s="5">
        <v>519</v>
      </c>
      <c r="B294" s="19" t="s">
        <v>161</v>
      </c>
      <c r="C294" s="19" t="s">
        <v>12</v>
      </c>
      <c r="D294" s="5" t="s">
        <v>162</v>
      </c>
      <c r="E294" s="6">
        <v>367178.75609779998</v>
      </c>
      <c r="F294" s="6">
        <v>6548440.0363937002</v>
      </c>
      <c r="G294" s="7" t="str">
        <f>HYPERLINK("https://minkarta.lantmateriet.se/?e=367178,7560978&amp;n=6548440,0363937&amp;z=12&amp;profile=flygbildmedgranser&amp;background=2&amp;boundaries=true","Visa")</f>
        <v>Visa</v>
      </c>
      <c r="H294" s="5" t="s">
        <v>8</v>
      </c>
      <c r="I294" s="8">
        <v>41.870069999999998</v>
      </c>
      <c r="J294" s="9">
        <v>57.777209999999997</v>
      </c>
      <c r="K294" s="9">
        <v>59.231169999999999</v>
      </c>
      <c r="L294" s="14">
        <v>42.816719999999997</v>
      </c>
      <c r="M294" s="9">
        <v>58.276699999999998</v>
      </c>
      <c r="N294" s="9">
        <v>61.74736</v>
      </c>
      <c r="O294" s="14">
        <v>43.545009999999998</v>
      </c>
      <c r="P294" s="9">
        <v>59.261519999999997</v>
      </c>
      <c r="Q294" s="9">
        <v>62.11609</v>
      </c>
      <c r="R294" s="23">
        <v>24.515139999999999</v>
      </c>
      <c r="S294" s="8">
        <v>0.72828999999999999</v>
      </c>
      <c r="T294" s="9">
        <v>0.98482000000000003</v>
      </c>
      <c r="U294" s="24">
        <v>0.36873</v>
      </c>
    </row>
    <row r="295" spans="1:21" ht="12" customHeight="1" x14ac:dyDescent="0.25">
      <c r="A295" s="5">
        <v>520</v>
      </c>
      <c r="B295" s="19" t="s">
        <v>161</v>
      </c>
      <c r="C295" s="19" t="s">
        <v>12</v>
      </c>
      <c r="D295" s="5" t="s">
        <v>162</v>
      </c>
      <c r="E295" s="6">
        <v>367178.3826596</v>
      </c>
      <c r="F295" s="6">
        <v>6548448.3905686997</v>
      </c>
      <c r="G295" s="7" t="str">
        <f>HYPERLINK("https://minkarta.lantmateriet.se/?e=367178,3826596&amp;n=6548448,3905687&amp;z=12&amp;profile=flygbildmedgranser&amp;background=2&amp;boundaries=true","Visa")</f>
        <v>Visa</v>
      </c>
      <c r="H295" s="5" t="s">
        <v>9</v>
      </c>
      <c r="I295" s="8">
        <v>39.093609999999998</v>
      </c>
      <c r="J295" s="9">
        <v>52.019359999999999</v>
      </c>
      <c r="K295" s="9">
        <v>53.473320000000001</v>
      </c>
      <c r="L295" s="14">
        <v>40.028660000000002</v>
      </c>
      <c r="M295" s="9">
        <v>52.518859999999997</v>
      </c>
      <c r="N295" s="9">
        <v>55.989510000000003</v>
      </c>
      <c r="O295" s="14">
        <v>40.427889999999998</v>
      </c>
      <c r="P295" s="9">
        <v>53.50367</v>
      </c>
      <c r="Q295" s="9">
        <v>56.358249999999998</v>
      </c>
      <c r="R295" s="23">
        <v>28.341999999999999</v>
      </c>
      <c r="S295" s="8">
        <v>0.39922999999999997</v>
      </c>
      <c r="T295" s="9">
        <v>0.98480999999999996</v>
      </c>
      <c r="U295" s="24">
        <v>0.36874000000000001</v>
      </c>
    </row>
    <row r="296" spans="1:21" ht="12" customHeight="1" x14ac:dyDescent="0.25">
      <c r="A296" s="5">
        <v>521</v>
      </c>
      <c r="B296" s="19" t="s">
        <v>161</v>
      </c>
      <c r="C296" s="19" t="s">
        <v>12</v>
      </c>
      <c r="D296" s="5" t="s">
        <v>162</v>
      </c>
      <c r="E296" s="6">
        <v>367172.68860520999</v>
      </c>
      <c r="F296" s="6">
        <v>6548451.8041013004</v>
      </c>
      <c r="G296" s="7" t="str">
        <f>HYPERLINK("https://minkarta.lantmateriet.se/?e=367172,68860521&amp;n=6548451,8041013&amp;z=12&amp;profile=flygbildmedgranser&amp;background=2&amp;boundaries=true","Visa")</f>
        <v>Visa</v>
      </c>
      <c r="H296" s="5" t="s">
        <v>9</v>
      </c>
      <c r="I296" s="8">
        <v>35.361780000000003</v>
      </c>
      <c r="J296" s="9">
        <v>39.72663</v>
      </c>
      <c r="K296" s="9">
        <v>41.180590000000002</v>
      </c>
      <c r="L296" s="14">
        <v>36.297150000000002</v>
      </c>
      <c r="M296" s="9">
        <v>40.226120000000002</v>
      </c>
      <c r="N296" s="9">
        <v>43.696779999999997</v>
      </c>
      <c r="O296" s="14">
        <v>36.716079999999998</v>
      </c>
      <c r="P296" s="9">
        <v>41.210940000000001</v>
      </c>
      <c r="Q296" s="9">
        <v>44.065519999999999</v>
      </c>
      <c r="R296" s="23">
        <v>28.942810000000001</v>
      </c>
      <c r="S296" s="8">
        <v>0.41893000000000002</v>
      </c>
      <c r="T296" s="9">
        <v>0.98482000000000003</v>
      </c>
      <c r="U296" s="24">
        <v>0.36874000000000001</v>
      </c>
    </row>
    <row r="297" spans="1:21" ht="12" customHeight="1" x14ac:dyDescent="0.25">
      <c r="A297" s="5">
        <v>522</v>
      </c>
      <c r="B297" s="19" t="s">
        <v>161</v>
      </c>
      <c r="C297" s="19" t="s">
        <v>12</v>
      </c>
      <c r="D297" s="5" t="s">
        <v>162</v>
      </c>
      <c r="E297" s="6">
        <v>367169.34938864002</v>
      </c>
      <c r="F297" s="6">
        <v>6548450.2185840998</v>
      </c>
      <c r="G297" s="7" t="str">
        <f>HYPERLINK("https://minkarta.lantmateriet.se/?e=367169,34938864&amp;n=6548450,2185841&amp;z=12&amp;profile=flygbildmedgranser&amp;background=2&amp;boundaries=true","Visa")</f>
        <v>Visa</v>
      </c>
      <c r="H297" s="5" t="s">
        <v>10</v>
      </c>
      <c r="I297" s="8">
        <v>38.059640000000002</v>
      </c>
      <c r="J297" s="9">
        <v>44.988549999999996</v>
      </c>
      <c r="K297" s="9">
        <v>46.442520000000002</v>
      </c>
      <c r="L297" s="14">
        <v>39.003329999999998</v>
      </c>
      <c r="M297" s="9">
        <v>45.488050000000001</v>
      </c>
      <c r="N297" s="9">
        <v>48.958710000000004</v>
      </c>
      <c r="O297" s="14">
        <v>39.502330000000001</v>
      </c>
      <c r="P297" s="9">
        <v>46.47287</v>
      </c>
      <c r="Q297" s="9">
        <v>49.327440000000003</v>
      </c>
      <c r="R297" s="23">
        <v>34.343910000000001</v>
      </c>
      <c r="S297" s="8">
        <v>0.499</v>
      </c>
      <c r="T297" s="9">
        <v>0.98482000000000003</v>
      </c>
      <c r="U297" s="24">
        <v>0.36873</v>
      </c>
    </row>
    <row r="298" spans="1:21" ht="12" customHeight="1" x14ac:dyDescent="0.25">
      <c r="A298" s="5">
        <v>523</v>
      </c>
      <c r="B298" s="19" t="s">
        <v>161</v>
      </c>
      <c r="C298" s="19" t="s">
        <v>12</v>
      </c>
      <c r="D298" s="5" t="s">
        <v>162</v>
      </c>
      <c r="E298" s="6">
        <v>367169.54584774998</v>
      </c>
      <c r="F298" s="6">
        <v>6548446.5209320001</v>
      </c>
      <c r="G298" s="7" t="str">
        <f>HYPERLINK("https://minkarta.lantmateriet.se/?e=367169,54584775&amp;n=6548446,520932&amp;z=12&amp;profile=flygbildmedgranser&amp;background=2&amp;boundaries=true","Visa")</f>
        <v>Visa</v>
      </c>
      <c r="H298" s="5" t="s">
        <v>11</v>
      </c>
      <c r="I298" s="8">
        <v>39.524520000000003</v>
      </c>
      <c r="J298" s="9">
        <v>46.223990000000001</v>
      </c>
      <c r="K298" s="9">
        <v>47.677950000000003</v>
      </c>
      <c r="L298" s="14">
        <v>40.475250000000003</v>
      </c>
      <c r="M298" s="9">
        <v>46.723480000000002</v>
      </c>
      <c r="N298" s="9">
        <v>50.194139999999997</v>
      </c>
      <c r="O298" s="14">
        <v>40.9026</v>
      </c>
      <c r="P298" s="9">
        <v>47.708300000000001</v>
      </c>
      <c r="Q298" s="9">
        <v>50.56288</v>
      </c>
      <c r="R298" s="23">
        <v>32.81485</v>
      </c>
      <c r="S298" s="8">
        <v>0.42735000000000001</v>
      </c>
      <c r="T298" s="9">
        <v>0.98482000000000003</v>
      </c>
      <c r="U298" s="24">
        <v>0.36874000000000001</v>
      </c>
    </row>
    <row r="299" spans="1:21" ht="12" customHeight="1" x14ac:dyDescent="0.25">
      <c r="A299" s="5">
        <v>524</v>
      </c>
      <c r="B299" s="19" t="s">
        <v>161</v>
      </c>
      <c r="C299" s="19" t="s">
        <v>12</v>
      </c>
      <c r="D299" s="5" t="s">
        <v>162</v>
      </c>
      <c r="E299" s="6">
        <v>367169.28992267</v>
      </c>
      <c r="F299" s="6">
        <v>6548442.1466413001</v>
      </c>
      <c r="G299" s="7" t="str">
        <f>HYPERLINK("https://minkarta.lantmateriet.se/?e=367169,28992267&amp;n=6548442,1466413&amp;z=12&amp;profile=flygbildmedgranser&amp;background=2&amp;boundaries=true","Visa")</f>
        <v>Visa</v>
      </c>
      <c r="H299" s="5" t="s">
        <v>10</v>
      </c>
      <c r="I299" s="8">
        <v>41.085509999999999</v>
      </c>
      <c r="J299" s="9">
        <v>53.573799999999999</v>
      </c>
      <c r="K299" s="9">
        <v>55.027760000000001</v>
      </c>
      <c r="L299" s="14">
        <v>42.047899999999998</v>
      </c>
      <c r="M299" s="9">
        <v>54.07329</v>
      </c>
      <c r="N299" s="9">
        <v>57.543950000000002</v>
      </c>
      <c r="O299" s="14">
        <v>42.52675</v>
      </c>
      <c r="P299" s="9">
        <v>55.058109999999999</v>
      </c>
      <c r="Q299" s="9">
        <v>57.912689999999998</v>
      </c>
      <c r="R299" s="23">
        <v>34.357190000000003</v>
      </c>
      <c r="S299" s="8">
        <v>0.47885</v>
      </c>
      <c r="T299" s="9">
        <v>0.98482000000000003</v>
      </c>
      <c r="U299" s="24">
        <v>0.36874000000000001</v>
      </c>
    </row>
    <row r="300" spans="1:21" ht="12" customHeight="1" x14ac:dyDescent="0.25">
      <c r="A300" s="5">
        <v>525</v>
      </c>
      <c r="B300" s="19" t="s">
        <v>161</v>
      </c>
      <c r="C300" s="19" t="s">
        <v>12</v>
      </c>
      <c r="D300" s="5" t="s">
        <v>162</v>
      </c>
      <c r="E300" s="6">
        <v>367171.24185332999</v>
      </c>
      <c r="F300" s="6">
        <v>6548436.4249286996</v>
      </c>
      <c r="G300" s="7" t="str">
        <f>HYPERLINK("https://minkarta.lantmateriet.se/?e=367171,24185333&amp;n=6548436,4249287&amp;z=12&amp;profile=flygbildmedgranser&amp;background=2&amp;boundaries=true","Visa")</f>
        <v>Visa</v>
      </c>
      <c r="H300" s="5" t="s">
        <v>11</v>
      </c>
      <c r="I300" s="8">
        <v>43.518059999999998</v>
      </c>
      <c r="J300" s="9">
        <v>58.382199999999997</v>
      </c>
      <c r="K300" s="9">
        <v>59.83616</v>
      </c>
      <c r="L300" s="14">
        <v>44.467370000000003</v>
      </c>
      <c r="M300" s="9">
        <v>58.881689999999999</v>
      </c>
      <c r="N300" s="9">
        <v>62.352350000000001</v>
      </c>
      <c r="O300" s="14">
        <v>45.250599999999999</v>
      </c>
      <c r="P300" s="9">
        <v>59.866509999999998</v>
      </c>
      <c r="Q300" s="9">
        <v>62.721089999999997</v>
      </c>
      <c r="R300" s="23">
        <v>38.54692</v>
      </c>
      <c r="S300" s="8">
        <v>0.78322999999999998</v>
      </c>
      <c r="T300" s="9">
        <v>0.98482000000000003</v>
      </c>
      <c r="U300" s="24">
        <v>0.36874000000000001</v>
      </c>
    </row>
    <row r="301" spans="1:21" ht="12" customHeight="1" x14ac:dyDescent="0.25">
      <c r="A301" s="5">
        <v>526</v>
      </c>
      <c r="B301" s="19" t="s">
        <v>163</v>
      </c>
      <c r="C301" s="19" t="s">
        <v>12</v>
      </c>
      <c r="D301" s="5" t="s">
        <v>164</v>
      </c>
      <c r="E301" s="6">
        <v>367193.86016679002</v>
      </c>
      <c r="F301" s="6">
        <v>6548464.0182296997</v>
      </c>
      <c r="G301" s="7" t="str">
        <f>HYPERLINK("https://minkarta.lantmateriet.se/?e=367193,86016679&amp;n=6548464,0182297&amp;z=12&amp;profile=flygbildmedgranser&amp;background=2&amp;boundaries=true","Visa")</f>
        <v>Visa</v>
      </c>
      <c r="H301" s="5" t="s">
        <v>8</v>
      </c>
      <c r="I301" s="8">
        <v>38.437179999999998</v>
      </c>
      <c r="J301" s="9">
        <v>55.013869999999997</v>
      </c>
      <c r="K301" s="9">
        <v>56.467829999999999</v>
      </c>
      <c r="L301" s="14">
        <v>39.386240000000001</v>
      </c>
      <c r="M301" s="9">
        <v>55.513359999999999</v>
      </c>
      <c r="N301" s="9">
        <v>58.984020000000001</v>
      </c>
      <c r="O301" s="14">
        <v>40.044110000000003</v>
      </c>
      <c r="P301" s="9">
        <v>56.498179999999998</v>
      </c>
      <c r="Q301" s="9">
        <v>59.352760000000004</v>
      </c>
      <c r="R301" s="23">
        <v>35.114490000000004</v>
      </c>
      <c r="S301" s="8">
        <v>0.65786999999999995</v>
      </c>
      <c r="T301" s="9">
        <v>0.98482000000000003</v>
      </c>
      <c r="U301" s="24">
        <v>0.36874000000000001</v>
      </c>
    </row>
    <row r="302" spans="1:21" ht="12" customHeight="1" x14ac:dyDescent="0.25">
      <c r="A302" s="5">
        <v>527</v>
      </c>
      <c r="B302" s="19" t="s">
        <v>163</v>
      </c>
      <c r="C302" s="19" t="s">
        <v>12</v>
      </c>
      <c r="D302" s="5" t="s">
        <v>164</v>
      </c>
      <c r="E302" s="6">
        <v>367194.30476142</v>
      </c>
      <c r="F302" s="6">
        <v>6548471.8236761997</v>
      </c>
      <c r="G302" s="7" t="str">
        <f>HYPERLINK("https://minkarta.lantmateriet.se/?e=367194,30476142&amp;n=6548471,8236762&amp;z=12&amp;profile=flygbildmedgranser&amp;background=2&amp;boundaries=true","Visa")</f>
        <v>Visa</v>
      </c>
      <c r="H302" s="5" t="s">
        <v>9</v>
      </c>
      <c r="I302" s="8">
        <v>34.369320000000002</v>
      </c>
      <c r="J302" s="9">
        <v>34.740969999999997</v>
      </c>
      <c r="K302" s="9">
        <v>36.194929999999999</v>
      </c>
      <c r="L302" s="14">
        <v>35.293140000000001</v>
      </c>
      <c r="M302" s="9">
        <v>35.240459999999999</v>
      </c>
      <c r="N302" s="9">
        <v>38.711120000000001</v>
      </c>
      <c r="O302" s="14">
        <v>35.60492</v>
      </c>
      <c r="P302" s="9">
        <v>36.225279999999998</v>
      </c>
      <c r="Q302" s="9">
        <v>39.079859999999996</v>
      </c>
      <c r="R302" s="23">
        <v>33.485129999999998</v>
      </c>
      <c r="S302" s="8">
        <v>0.31178</v>
      </c>
      <c r="T302" s="9">
        <v>0.98482000000000003</v>
      </c>
      <c r="U302" s="24">
        <v>0.36874000000000001</v>
      </c>
    </row>
    <row r="303" spans="1:21" ht="12" customHeight="1" x14ac:dyDescent="0.25">
      <c r="A303" s="5">
        <v>528</v>
      </c>
      <c r="B303" s="19" t="s">
        <v>163</v>
      </c>
      <c r="C303" s="19" t="s">
        <v>12</v>
      </c>
      <c r="D303" s="5" t="s">
        <v>164</v>
      </c>
      <c r="E303" s="6">
        <v>367187.08783496002</v>
      </c>
      <c r="F303" s="6">
        <v>6548468.7902739998</v>
      </c>
      <c r="G303" s="7" t="str">
        <f>HYPERLINK("https://minkarta.lantmateriet.se/?e=367187,08783496&amp;n=6548468,790274&amp;z=12&amp;profile=flygbildmedgranser&amp;background=2&amp;boundaries=true","Visa")</f>
        <v>Visa</v>
      </c>
      <c r="H303" s="5" t="s">
        <v>10</v>
      </c>
      <c r="I303" s="8">
        <v>36.612450000000003</v>
      </c>
      <c r="J303" s="9">
        <v>38.637700000000002</v>
      </c>
      <c r="K303" s="9">
        <v>40.091659999999997</v>
      </c>
      <c r="L303" s="14">
        <v>37.5396</v>
      </c>
      <c r="M303" s="9">
        <v>39.1372</v>
      </c>
      <c r="N303" s="9">
        <v>42.607849999999999</v>
      </c>
      <c r="O303" s="14">
        <v>37.889139999999998</v>
      </c>
      <c r="P303" s="9">
        <v>40.122010000000003</v>
      </c>
      <c r="Q303" s="9">
        <v>42.976590000000002</v>
      </c>
      <c r="R303" s="23">
        <v>34.581569999999999</v>
      </c>
      <c r="S303" s="8">
        <v>0.34954000000000002</v>
      </c>
      <c r="T303" s="9">
        <v>0.98480999999999996</v>
      </c>
      <c r="U303" s="24">
        <v>0.36874000000000001</v>
      </c>
    </row>
    <row r="304" spans="1:21" ht="12" customHeight="1" x14ac:dyDescent="0.25">
      <c r="A304" s="5">
        <v>529</v>
      </c>
      <c r="B304" s="19" t="s">
        <v>163</v>
      </c>
      <c r="C304" s="19" t="s">
        <v>12</v>
      </c>
      <c r="D304" s="5" t="s">
        <v>164</v>
      </c>
      <c r="E304" s="6">
        <v>367186.64324139</v>
      </c>
      <c r="F304" s="6">
        <v>6548460.9848272</v>
      </c>
      <c r="G304" s="7" t="str">
        <f>HYPERLINK("https://minkarta.lantmateriet.se/?e=367186,64324139&amp;n=6548460,9848272&amp;z=12&amp;profile=flygbildmedgranser&amp;background=2&amp;boundaries=true","Visa")</f>
        <v>Visa</v>
      </c>
      <c r="H304" s="5" t="s">
        <v>11</v>
      </c>
      <c r="I304" s="8">
        <v>38.925629999999998</v>
      </c>
      <c r="J304" s="9">
        <v>41.22775</v>
      </c>
      <c r="K304" s="9">
        <v>42.681719999999999</v>
      </c>
      <c r="L304" s="14">
        <v>39.861980000000003</v>
      </c>
      <c r="M304" s="9">
        <v>41.727249999999998</v>
      </c>
      <c r="N304" s="9">
        <v>45.19791</v>
      </c>
      <c r="O304" s="14">
        <v>40.268459999999997</v>
      </c>
      <c r="P304" s="9">
        <v>42.709960000000002</v>
      </c>
      <c r="Q304" s="9">
        <v>45.564540000000001</v>
      </c>
      <c r="R304" s="23">
        <v>36.711219999999997</v>
      </c>
      <c r="S304" s="8">
        <v>0.40648000000000001</v>
      </c>
      <c r="T304" s="9">
        <v>0.98270999999999997</v>
      </c>
      <c r="U304" s="24">
        <v>0.36663000000000001</v>
      </c>
    </row>
    <row r="305" spans="1:21" ht="12" customHeight="1" x14ac:dyDescent="0.25">
      <c r="A305" s="5">
        <v>530</v>
      </c>
      <c r="B305" s="19" t="s">
        <v>165</v>
      </c>
      <c r="C305" s="19" t="s">
        <v>12</v>
      </c>
      <c r="D305" s="5" t="s">
        <v>166</v>
      </c>
      <c r="E305" s="6">
        <v>367152.27306923998</v>
      </c>
      <c r="F305" s="6">
        <v>6548450.5248459</v>
      </c>
      <c r="G305" s="7" t="str">
        <f>HYPERLINK("https://minkarta.lantmateriet.se/?e=367152,27306924&amp;n=6548450,5248459&amp;z=12&amp;profile=flygbildmedgranser&amp;background=2&amp;boundaries=true","Visa")</f>
        <v>Visa</v>
      </c>
      <c r="H305" s="5" t="s">
        <v>8</v>
      </c>
      <c r="I305" s="8">
        <v>41.306640000000002</v>
      </c>
      <c r="J305" s="9">
        <v>56.44585</v>
      </c>
      <c r="K305" s="9">
        <v>57.899819999999998</v>
      </c>
      <c r="L305" s="14">
        <v>42.28875</v>
      </c>
      <c r="M305" s="9">
        <v>56.945349999999998</v>
      </c>
      <c r="N305" s="9">
        <v>60.41601</v>
      </c>
      <c r="O305" s="14">
        <v>43.043140000000001</v>
      </c>
      <c r="P305" s="9">
        <v>57.930169999999997</v>
      </c>
      <c r="Q305" s="9">
        <v>60.784739999999999</v>
      </c>
      <c r="R305" s="23">
        <v>24.365030000000001</v>
      </c>
      <c r="S305" s="8">
        <v>0.75439000000000001</v>
      </c>
      <c r="T305" s="9">
        <v>0.98482000000000003</v>
      </c>
      <c r="U305" s="24">
        <v>0.36873</v>
      </c>
    </row>
    <row r="306" spans="1:21" ht="12" customHeight="1" x14ac:dyDescent="0.25">
      <c r="A306" s="5">
        <v>531</v>
      </c>
      <c r="B306" s="19" t="s">
        <v>165</v>
      </c>
      <c r="C306" s="19" t="s">
        <v>12</v>
      </c>
      <c r="D306" s="5" t="s">
        <v>166</v>
      </c>
      <c r="E306" s="6">
        <v>367151.73865656002</v>
      </c>
      <c r="F306" s="6">
        <v>6548459.8790705996</v>
      </c>
      <c r="G306" s="7" t="str">
        <f>HYPERLINK("https://minkarta.lantmateriet.se/?e=367151,73865656&amp;n=6548459,8790706&amp;z=12&amp;profile=flygbildmedgranser&amp;background=2&amp;boundaries=true","Visa")</f>
        <v>Visa</v>
      </c>
      <c r="H306" s="5" t="s">
        <v>9</v>
      </c>
      <c r="I306" s="8">
        <v>34.444040000000001</v>
      </c>
      <c r="J306" s="9">
        <v>35.110790000000001</v>
      </c>
      <c r="K306" s="9">
        <v>36.63937</v>
      </c>
      <c r="L306" s="14">
        <v>35.374369999999999</v>
      </c>
      <c r="M306" s="9">
        <v>35.53989</v>
      </c>
      <c r="N306" s="9">
        <v>37.157859999999999</v>
      </c>
      <c r="O306" s="14">
        <v>35.724080000000001</v>
      </c>
      <c r="P306" s="9">
        <v>35.568339999999999</v>
      </c>
      <c r="Q306" s="9">
        <v>37.474469999999997</v>
      </c>
      <c r="R306" s="23">
        <v>28.03293</v>
      </c>
      <c r="S306" s="8">
        <v>0.34971000000000002</v>
      </c>
      <c r="T306" s="9">
        <v>2.845E-2</v>
      </c>
      <c r="U306" s="24">
        <v>0.31661</v>
      </c>
    </row>
    <row r="307" spans="1:21" ht="12" customHeight="1" x14ac:dyDescent="0.25">
      <c r="A307" s="5">
        <v>532</v>
      </c>
      <c r="B307" s="19" t="s">
        <v>165</v>
      </c>
      <c r="C307" s="19" t="s">
        <v>12</v>
      </c>
      <c r="D307" s="5" t="s">
        <v>166</v>
      </c>
      <c r="E307" s="6">
        <v>367143.22293276002</v>
      </c>
      <c r="F307" s="6">
        <v>6548455.9701581001</v>
      </c>
      <c r="G307" s="7" t="str">
        <f>HYPERLINK("https://minkarta.lantmateriet.se/?e=367143,22293276&amp;n=6548455,9701581&amp;z=12&amp;profile=flygbildmedgranser&amp;background=2&amp;boundaries=true","Visa")</f>
        <v>Visa</v>
      </c>
      <c r="H307" s="5" t="s">
        <v>10</v>
      </c>
      <c r="I307" s="8">
        <v>37.784260000000003</v>
      </c>
      <c r="J307" s="9">
        <v>50.595869999999998</v>
      </c>
      <c r="K307" s="9">
        <v>52.04983</v>
      </c>
      <c r="L307" s="14">
        <v>38.747489999999999</v>
      </c>
      <c r="M307" s="9">
        <v>51.095359999999999</v>
      </c>
      <c r="N307" s="9">
        <v>54.566020000000002</v>
      </c>
      <c r="O307" s="14">
        <v>39.308010000000003</v>
      </c>
      <c r="P307" s="9">
        <v>52.080179999999999</v>
      </c>
      <c r="Q307" s="9">
        <v>54.934759999999997</v>
      </c>
      <c r="R307" s="23">
        <v>32.057729999999999</v>
      </c>
      <c r="S307" s="8">
        <v>0.56052000000000002</v>
      </c>
      <c r="T307" s="9">
        <v>0.98482000000000003</v>
      </c>
      <c r="U307" s="24">
        <v>0.36874000000000001</v>
      </c>
    </row>
    <row r="308" spans="1:21" ht="12" customHeight="1" x14ac:dyDescent="0.25">
      <c r="A308" s="5">
        <v>533</v>
      </c>
      <c r="B308" s="19" t="s">
        <v>165</v>
      </c>
      <c r="C308" s="19" t="s">
        <v>12</v>
      </c>
      <c r="D308" s="5" t="s">
        <v>166</v>
      </c>
      <c r="E308" s="6">
        <v>367143.75734543998</v>
      </c>
      <c r="F308" s="6">
        <v>6548446.6159333996</v>
      </c>
      <c r="G308" s="7" t="str">
        <f>HYPERLINK("https://minkarta.lantmateriet.se/?e=367143,75734544&amp;n=6548446,6159334&amp;z=12&amp;profile=flygbildmedgranser&amp;background=2&amp;boundaries=true","Visa")</f>
        <v>Visa</v>
      </c>
      <c r="H308" s="5" t="s">
        <v>11</v>
      </c>
      <c r="I308" s="8">
        <v>40.90222</v>
      </c>
      <c r="J308" s="9">
        <v>54.9846</v>
      </c>
      <c r="K308" s="9">
        <v>56.438569999999999</v>
      </c>
      <c r="L308" s="14">
        <v>41.870379999999997</v>
      </c>
      <c r="M308" s="9">
        <v>55.484099999999998</v>
      </c>
      <c r="N308" s="9">
        <v>58.95476</v>
      </c>
      <c r="O308" s="14">
        <v>42.640770000000003</v>
      </c>
      <c r="P308" s="9">
        <v>56.468919999999997</v>
      </c>
      <c r="Q308" s="9">
        <v>59.32349</v>
      </c>
      <c r="R308" s="23">
        <v>40.907730000000001</v>
      </c>
      <c r="S308" s="8">
        <v>0.77039000000000002</v>
      </c>
      <c r="T308" s="9">
        <v>0.98482000000000003</v>
      </c>
      <c r="U308" s="24">
        <v>0.36873</v>
      </c>
    </row>
    <row r="309" spans="1:21" ht="12" customHeight="1" x14ac:dyDescent="0.25">
      <c r="A309" s="5">
        <v>534</v>
      </c>
      <c r="B309" s="19" t="s">
        <v>167</v>
      </c>
      <c r="C309" s="19" t="s">
        <v>12</v>
      </c>
      <c r="D309" s="5" t="s">
        <v>168</v>
      </c>
      <c r="E309" s="6">
        <v>367129.47157336998</v>
      </c>
      <c r="F309" s="6">
        <v>6548463.0118527999</v>
      </c>
      <c r="G309" s="7" t="str">
        <f>HYPERLINK("https://minkarta.lantmateriet.se/?e=367129,47157337&amp;n=6548463,0118528&amp;z=12&amp;profile=flygbildmedgranser&amp;background=2&amp;boundaries=true","Visa")</f>
        <v>Visa</v>
      </c>
      <c r="H309" s="5" t="s">
        <v>8</v>
      </c>
      <c r="I309" s="8">
        <v>39.662799999999997</v>
      </c>
      <c r="J309" s="9">
        <v>56.603140000000003</v>
      </c>
      <c r="K309" s="9">
        <v>58.057099999999998</v>
      </c>
      <c r="L309" s="14">
        <v>40.624310000000001</v>
      </c>
      <c r="M309" s="9">
        <v>57.102629999999998</v>
      </c>
      <c r="N309" s="9">
        <v>60.57329</v>
      </c>
      <c r="O309" s="14">
        <v>41.251510000000003</v>
      </c>
      <c r="P309" s="9">
        <v>58.087449999999997</v>
      </c>
      <c r="Q309" s="9">
        <v>60.942030000000003</v>
      </c>
      <c r="R309" s="23">
        <v>28.305820000000001</v>
      </c>
      <c r="S309" s="8">
        <v>0.62719999999999998</v>
      </c>
      <c r="T309" s="9">
        <v>0.98482000000000003</v>
      </c>
      <c r="U309" s="24">
        <v>0.36874000000000001</v>
      </c>
    </row>
    <row r="310" spans="1:21" ht="12" customHeight="1" x14ac:dyDescent="0.25">
      <c r="A310" s="5">
        <v>535</v>
      </c>
      <c r="B310" s="19" t="s">
        <v>167</v>
      </c>
      <c r="C310" s="19" t="s">
        <v>12</v>
      </c>
      <c r="D310" s="5" t="s">
        <v>168</v>
      </c>
      <c r="E310" s="6">
        <v>367129.10165078001</v>
      </c>
      <c r="F310" s="6">
        <v>6548471.3020740002</v>
      </c>
      <c r="G310" s="7" t="str">
        <f>HYPERLINK("https://minkarta.lantmateriet.se/?e=367129,10165078&amp;n=6548471,302074&amp;z=12&amp;profile=flygbildmedgranser&amp;background=2&amp;boundaries=true","Visa")</f>
        <v>Visa</v>
      </c>
      <c r="H310" s="5" t="s">
        <v>9</v>
      </c>
      <c r="I310" s="8">
        <v>34.822240000000001</v>
      </c>
      <c r="J310" s="9">
        <v>35.274380000000001</v>
      </c>
      <c r="K310" s="9">
        <v>36.960360000000001</v>
      </c>
      <c r="L310" s="14">
        <v>35.745829999999998</v>
      </c>
      <c r="M310" s="9">
        <v>35.74577</v>
      </c>
      <c r="N310" s="9">
        <v>37.536650000000002</v>
      </c>
      <c r="O310" s="14">
        <v>36.071440000000003</v>
      </c>
      <c r="P310" s="9">
        <v>36.651339999999998</v>
      </c>
      <c r="Q310" s="9">
        <v>38.270180000000003</v>
      </c>
      <c r="R310" s="23">
        <v>33.300420000000003</v>
      </c>
      <c r="S310" s="8">
        <v>0.32561000000000001</v>
      </c>
      <c r="T310" s="9">
        <v>0.90556999999999999</v>
      </c>
      <c r="U310" s="24">
        <v>0.73353000000000002</v>
      </c>
    </row>
    <row r="311" spans="1:21" ht="12" customHeight="1" x14ac:dyDescent="0.25">
      <c r="A311" s="5">
        <v>536</v>
      </c>
      <c r="B311" s="19" t="s">
        <v>167</v>
      </c>
      <c r="C311" s="19" t="s">
        <v>12</v>
      </c>
      <c r="D311" s="5" t="s">
        <v>168</v>
      </c>
      <c r="E311" s="6">
        <v>367121.60942882003</v>
      </c>
      <c r="F311" s="6">
        <v>6548467.7356514996</v>
      </c>
      <c r="G311" s="7" t="str">
        <f>HYPERLINK("https://minkarta.lantmateriet.se/?e=367121,60942882&amp;n=6548467,7356515&amp;z=12&amp;profile=flygbildmedgranser&amp;background=2&amp;boundaries=true","Visa")</f>
        <v>Visa</v>
      </c>
      <c r="H311" s="5" t="s">
        <v>10</v>
      </c>
      <c r="I311" s="8">
        <v>39.678449999999998</v>
      </c>
      <c r="J311" s="9">
        <v>53.636060000000001</v>
      </c>
      <c r="K311" s="9">
        <v>55.090029999999999</v>
      </c>
      <c r="L311" s="14">
        <v>40.638590000000001</v>
      </c>
      <c r="M311" s="9">
        <v>54.135559999999998</v>
      </c>
      <c r="N311" s="9">
        <v>57.60622</v>
      </c>
      <c r="O311" s="14">
        <v>41.191780000000001</v>
      </c>
      <c r="P311" s="9">
        <v>55.120379999999997</v>
      </c>
      <c r="Q311" s="9">
        <v>57.97495</v>
      </c>
      <c r="R311" s="23">
        <v>34.505220000000001</v>
      </c>
      <c r="S311" s="8">
        <v>0.55318999999999996</v>
      </c>
      <c r="T311" s="9">
        <v>0.98482000000000003</v>
      </c>
      <c r="U311" s="24">
        <v>0.36873</v>
      </c>
    </row>
    <row r="312" spans="1:21" ht="12" customHeight="1" x14ac:dyDescent="0.25">
      <c r="A312" s="5">
        <v>537</v>
      </c>
      <c r="B312" s="19" t="s">
        <v>167</v>
      </c>
      <c r="C312" s="19" t="s">
        <v>12</v>
      </c>
      <c r="D312" s="5" t="s">
        <v>168</v>
      </c>
      <c r="E312" s="6">
        <v>367121.97935042001</v>
      </c>
      <c r="F312" s="6">
        <v>6548459.4454303999</v>
      </c>
      <c r="G312" s="7" t="str">
        <f>HYPERLINK("https://minkarta.lantmateriet.se/?e=367121,97935042&amp;n=6548459,4454304&amp;z=12&amp;profile=flygbildmedgranser&amp;background=2&amp;boundaries=true","Visa")</f>
        <v>Visa</v>
      </c>
      <c r="H312" s="5" t="s">
        <v>11</v>
      </c>
      <c r="I312" s="8">
        <v>41.489190000000001</v>
      </c>
      <c r="J312" s="9">
        <v>55.019730000000003</v>
      </c>
      <c r="K312" s="9">
        <v>56.473700000000001</v>
      </c>
      <c r="L312" s="14">
        <v>42.484470000000002</v>
      </c>
      <c r="M312" s="9">
        <v>55.51923</v>
      </c>
      <c r="N312" s="9">
        <v>58.989890000000003</v>
      </c>
      <c r="O312" s="14">
        <v>43.175759999999997</v>
      </c>
      <c r="P312" s="9">
        <v>56.504049999999999</v>
      </c>
      <c r="Q312" s="9">
        <v>59.358620000000002</v>
      </c>
      <c r="R312" s="23">
        <v>33.825980000000001</v>
      </c>
      <c r="S312" s="8">
        <v>0.69128999999999996</v>
      </c>
      <c r="T312" s="9">
        <v>0.98482000000000003</v>
      </c>
      <c r="U312" s="24">
        <v>0.36873</v>
      </c>
    </row>
    <row r="313" spans="1:21" ht="12" customHeight="1" x14ac:dyDescent="0.25">
      <c r="A313" s="5">
        <v>539</v>
      </c>
      <c r="B313" s="19" t="s">
        <v>169</v>
      </c>
      <c r="C313" s="19" t="s">
        <v>12</v>
      </c>
      <c r="D313" s="5" t="s">
        <v>170</v>
      </c>
      <c r="E313" s="6">
        <v>367090.96289282001</v>
      </c>
      <c r="F313" s="6">
        <v>6548503.9796321997</v>
      </c>
      <c r="G313" s="7" t="str">
        <f>HYPERLINK("https://minkarta.lantmateriet.se/?e=367090,96289282&amp;n=6548503,9796322&amp;z=12&amp;profile=flygbildmedgranser&amp;background=2&amp;boundaries=true","Visa")</f>
        <v>Visa</v>
      </c>
      <c r="H313" s="5" t="s">
        <v>15</v>
      </c>
      <c r="I313" s="8">
        <v>41.040419999999997</v>
      </c>
      <c r="J313" s="9">
        <v>50.389530000000001</v>
      </c>
      <c r="K313" s="9">
        <v>51.843490000000003</v>
      </c>
      <c r="L313" s="14">
        <v>42.012659999999997</v>
      </c>
      <c r="M313" s="9">
        <v>50.889029999999998</v>
      </c>
      <c r="N313" s="9">
        <v>54.359679999999997</v>
      </c>
      <c r="O313" s="14">
        <v>42.540570000000002</v>
      </c>
      <c r="P313" s="9">
        <v>51.873840000000001</v>
      </c>
      <c r="Q313" s="9">
        <v>54.72842</v>
      </c>
      <c r="R313" s="23">
        <v>39.128819999999997</v>
      </c>
      <c r="S313" s="8">
        <v>0.52790999999999999</v>
      </c>
      <c r="T313" s="9">
        <v>0.98480999999999996</v>
      </c>
      <c r="U313" s="24">
        <v>0.36874000000000001</v>
      </c>
    </row>
    <row r="314" spans="1:21" ht="12" customHeight="1" x14ac:dyDescent="0.25">
      <c r="A314" s="5">
        <v>540</v>
      </c>
      <c r="B314" s="19" t="s">
        <v>169</v>
      </c>
      <c r="C314" s="19" t="s">
        <v>12</v>
      </c>
      <c r="D314" s="5" t="s">
        <v>170</v>
      </c>
      <c r="E314" s="6">
        <v>367095.25337085</v>
      </c>
      <c r="F314" s="6">
        <v>6548507.5718938997</v>
      </c>
      <c r="G314" s="7" t="str">
        <f>HYPERLINK("https://minkarta.lantmateriet.se/?e=367095,25337085&amp;n=6548507,5718939&amp;z=12&amp;profile=flygbildmedgranser&amp;background=2&amp;boundaries=true","Visa")</f>
        <v>Visa</v>
      </c>
      <c r="H314" s="5" t="s">
        <v>13</v>
      </c>
      <c r="I314" s="8">
        <v>38.261719999999997</v>
      </c>
      <c r="J314" s="9">
        <v>50.08126</v>
      </c>
      <c r="K314" s="9">
        <v>51.535220000000002</v>
      </c>
      <c r="L314" s="14">
        <v>39.216140000000003</v>
      </c>
      <c r="M314" s="9">
        <v>50.580750000000002</v>
      </c>
      <c r="N314" s="9">
        <v>54.051409999999997</v>
      </c>
      <c r="O314" s="14">
        <v>39.798009999999998</v>
      </c>
      <c r="P314" s="9">
        <v>51.565570000000001</v>
      </c>
      <c r="Q314" s="9">
        <v>54.42015</v>
      </c>
      <c r="R314" s="23">
        <v>37.067079999999997</v>
      </c>
      <c r="S314" s="8">
        <v>0.58187</v>
      </c>
      <c r="T314" s="9">
        <v>0.98482000000000003</v>
      </c>
      <c r="U314" s="24">
        <v>0.36874000000000001</v>
      </c>
    </row>
    <row r="315" spans="1:21" ht="12" customHeight="1" x14ac:dyDescent="0.25">
      <c r="A315" s="5">
        <v>541</v>
      </c>
      <c r="B315" s="19" t="s">
        <v>169</v>
      </c>
      <c r="C315" s="19" t="s">
        <v>12</v>
      </c>
      <c r="D315" s="5" t="s">
        <v>170</v>
      </c>
      <c r="E315" s="6">
        <v>367092.85761001997</v>
      </c>
      <c r="F315" s="6">
        <v>6548512.2538716998</v>
      </c>
      <c r="G315" s="7" t="str">
        <f>HYPERLINK("https://minkarta.lantmateriet.se/?e=367092,85761002&amp;n=6548512,2538717&amp;z=12&amp;profile=flygbildmedgranser&amp;background=2&amp;boundaries=true","Visa")</f>
        <v>Visa</v>
      </c>
      <c r="H315" s="5" t="s">
        <v>14</v>
      </c>
      <c r="I315" s="8">
        <v>34.70879</v>
      </c>
      <c r="J315" s="9">
        <v>37.311950000000003</v>
      </c>
      <c r="K315" s="9">
        <v>38.880699999999997</v>
      </c>
      <c r="L315" s="14">
        <v>35.61683</v>
      </c>
      <c r="M315" s="9">
        <v>37.768470000000001</v>
      </c>
      <c r="N315" s="9">
        <v>39.386200000000002</v>
      </c>
      <c r="O315" s="14">
        <v>36.004379999999998</v>
      </c>
      <c r="P315" s="9">
        <v>37.79956</v>
      </c>
      <c r="Q315" s="9">
        <v>39.415799999999997</v>
      </c>
      <c r="R315" s="23">
        <v>38.679169999999999</v>
      </c>
      <c r="S315" s="8">
        <v>0.38755000000000001</v>
      </c>
      <c r="T315" s="9">
        <v>3.109E-2</v>
      </c>
      <c r="U315" s="24">
        <v>2.9600000000000001E-2</v>
      </c>
    </row>
    <row r="316" spans="1:21" ht="12" customHeight="1" x14ac:dyDescent="0.25">
      <c r="A316" s="5">
        <v>542</v>
      </c>
      <c r="B316" s="19" t="s">
        <v>169</v>
      </c>
      <c r="C316" s="19" t="s">
        <v>12</v>
      </c>
      <c r="D316" s="5" t="s">
        <v>170</v>
      </c>
      <c r="E316" s="6">
        <v>367086.36611041997</v>
      </c>
      <c r="F316" s="6">
        <v>6548515.2248716</v>
      </c>
      <c r="G316" s="7" t="str">
        <f>HYPERLINK("https://minkarta.lantmateriet.se/?e=367086,36611042&amp;n=6548515,2248716&amp;z=12&amp;profile=flygbildmedgranser&amp;background=2&amp;boundaries=true","Visa")</f>
        <v>Visa</v>
      </c>
      <c r="H316" s="5" t="s">
        <v>14</v>
      </c>
      <c r="I316" s="8">
        <v>35.212780000000002</v>
      </c>
      <c r="J316" s="9">
        <v>37.549889999999998</v>
      </c>
      <c r="K316" s="9">
        <v>39.118639999999999</v>
      </c>
      <c r="L316" s="14">
        <v>36.12641</v>
      </c>
      <c r="M316" s="9">
        <v>38.006419999999999</v>
      </c>
      <c r="N316" s="9">
        <v>39.624139999999997</v>
      </c>
      <c r="O316" s="14">
        <v>36.583100000000002</v>
      </c>
      <c r="P316" s="9">
        <v>38.037500000000001</v>
      </c>
      <c r="Q316" s="9">
        <v>39.653739999999999</v>
      </c>
      <c r="R316" s="23">
        <v>38.640599999999999</v>
      </c>
      <c r="S316" s="8">
        <v>0.45668999999999998</v>
      </c>
      <c r="T316" s="9">
        <v>3.108E-2</v>
      </c>
      <c r="U316" s="24">
        <v>2.9600000000000001E-2</v>
      </c>
    </row>
    <row r="317" spans="1:21" ht="12" customHeight="1" x14ac:dyDescent="0.25">
      <c r="A317" s="5">
        <v>543</v>
      </c>
      <c r="B317" s="19" t="s">
        <v>169</v>
      </c>
      <c r="C317" s="19" t="s">
        <v>12</v>
      </c>
      <c r="D317" s="5" t="s">
        <v>170</v>
      </c>
      <c r="E317" s="6">
        <v>367081.86213132</v>
      </c>
      <c r="F317" s="6">
        <v>6548511.1386110997</v>
      </c>
      <c r="G317" s="7" t="str">
        <f>HYPERLINK("https://minkarta.lantmateriet.se/?e=367081,86213132&amp;n=6548511,1386111&amp;z=12&amp;profile=flygbildmedgranser&amp;background=2&amp;boundaries=true","Visa")</f>
        <v>Visa</v>
      </c>
      <c r="H317" s="5" t="s">
        <v>16</v>
      </c>
      <c r="I317" s="8">
        <v>38.833329999999997</v>
      </c>
      <c r="J317" s="9">
        <v>49.930459999999997</v>
      </c>
      <c r="K317" s="9">
        <v>51.384430000000002</v>
      </c>
      <c r="L317" s="14">
        <v>39.771439999999998</v>
      </c>
      <c r="M317" s="9">
        <v>50.429960000000001</v>
      </c>
      <c r="N317" s="9">
        <v>53.900620000000004</v>
      </c>
      <c r="O317" s="14">
        <v>40.228160000000003</v>
      </c>
      <c r="P317" s="9">
        <v>51.41478</v>
      </c>
      <c r="Q317" s="9">
        <v>54.269350000000003</v>
      </c>
      <c r="R317" s="23">
        <v>38.499980000000001</v>
      </c>
      <c r="S317" s="8">
        <v>0.45672000000000001</v>
      </c>
      <c r="T317" s="9">
        <v>0.98482000000000003</v>
      </c>
      <c r="U317" s="24">
        <v>0.36873</v>
      </c>
    </row>
    <row r="318" spans="1:21" ht="12" customHeight="1" x14ac:dyDescent="0.25">
      <c r="A318" s="5">
        <v>544</v>
      </c>
      <c r="B318" s="19" t="s">
        <v>171</v>
      </c>
      <c r="C318" s="19" t="s">
        <v>12</v>
      </c>
      <c r="D318" s="5" t="s">
        <v>172</v>
      </c>
      <c r="E318" s="6">
        <v>366980.75855888001</v>
      </c>
      <c r="F318" s="6">
        <v>6548143.0045614997</v>
      </c>
      <c r="G318" s="7" t="str">
        <f>HYPERLINK("https://minkarta.lantmateriet.se/?e=366980,75855888&amp;n=6548143,0045615&amp;z=12&amp;profile=flygbildmedgranser&amp;background=2&amp;boundaries=true","Visa")</f>
        <v>Visa</v>
      </c>
      <c r="H318" s="5" t="s">
        <v>13</v>
      </c>
      <c r="I318" s="8">
        <v>36.556330000000003</v>
      </c>
      <c r="J318" s="9">
        <v>39.987450000000003</v>
      </c>
      <c r="K318" s="9">
        <v>41.516030000000001</v>
      </c>
      <c r="L318" s="14">
        <v>37.495249999999999</v>
      </c>
      <c r="M318" s="9">
        <v>40.466079999999998</v>
      </c>
      <c r="N318" s="9">
        <v>43.936729999999997</v>
      </c>
      <c r="O318" s="14">
        <v>37.917580000000001</v>
      </c>
      <c r="P318" s="9">
        <v>41.450890000000001</v>
      </c>
      <c r="Q318" s="9">
        <v>44.30547</v>
      </c>
      <c r="R318" s="23">
        <v>23.922070000000001</v>
      </c>
      <c r="S318" s="8">
        <v>0.42232999999999998</v>
      </c>
      <c r="T318" s="9">
        <v>0.98480999999999996</v>
      </c>
      <c r="U318" s="24">
        <v>0.36874000000000001</v>
      </c>
    </row>
    <row r="319" spans="1:21" ht="12" customHeight="1" x14ac:dyDescent="0.25">
      <c r="A319" s="5">
        <v>545</v>
      </c>
      <c r="B319" s="19" t="s">
        <v>171</v>
      </c>
      <c r="C319" s="19" t="s">
        <v>12</v>
      </c>
      <c r="D319" s="5" t="s">
        <v>172</v>
      </c>
      <c r="E319" s="6">
        <v>366974.98144147999</v>
      </c>
      <c r="F319" s="6">
        <v>6548149.5885599004</v>
      </c>
      <c r="G319" s="7" t="str">
        <f>HYPERLINK("https://minkarta.lantmateriet.se/?e=366974,98144148&amp;n=6548149,5885599&amp;z=12&amp;profile=flygbildmedgranser&amp;background=2&amp;boundaries=true","Visa")</f>
        <v>Visa</v>
      </c>
      <c r="H319" s="5" t="s">
        <v>14</v>
      </c>
      <c r="I319" s="8">
        <v>43.12538</v>
      </c>
      <c r="J319" s="9">
        <v>53.315570000000001</v>
      </c>
      <c r="K319" s="9">
        <v>54.844149999999999</v>
      </c>
      <c r="L319" s="14">
        <v>44.043750000000003</v>
      </c>
      <c r="M319" s="9">
        <v>53.744680000000002</v>
      </c>
      <c r="N319" s="9">
        <v>55.362639999999999</v>
      </c>
      <c r="O319" s="14">
        <v>44.192549999999997</v>
      </c>
      <c r="P319" s="9">
        <v>53.773130000000002</v>
      </c>
      <c r="Q319" s="9">
        <v>55.391959999999997</v>
      </c>
      <c r="R319" s="23">
        <v>39.747439999999997</v>
      </c>
      <c r="S319" s="8">
        <v>0.14879999999999999</v>
      </c>
      <c r="T319" s="9">
        <v>2.845E-2</v>
      </c>
      <c r="U319" s="24">
        <v>2.9319999999999999E-2</v>
      </c>
    </row>
    <row r="320" spans="1:21" ht="12" customHeight="1" x14ac:dyDescent="0.25">
      <c r="A320" s="5">
        <v>546</v>
      </c>
      <c r="B320" s="19" t="s">
        <v>171</v>
      </c>
      <c r="C320" s="19" t="s">
        <v>12</v>
      </c>
      <c r="D320" s="5" t="s">
        <v>172</v>
      </c>
      <c r="E320" s="6">
        <v>366966.50244312</v>
      </c>
      <c r="F320" s="6">
        <v>6548147.3904424999</v>
      </c>
      <c r="G320" s="7" t="str">
        <f>HYPERLINK("https://minkarta.lantmateriet.se/?e=366966,50244312&amp;n=6548147,3904425&amp;z=12&amp;profile=flygbildmedgranser&amp;background=2&amp;boundaries=true","Visa")</f>
        <v>Visa</v>
      </c>
      <c r="H320" s="5" t="s">
        <v>16</v>
      </c>
      <c r="I320" s="8">
        <v>48.986510000000003</v>
      </c>
      <c r="J320" s="9">
        <v>54.426380000000002</v>
      </c>
      <c r="K320" s="9">
        <v>55.954970000000003</v>
      </c>
      <c r="L320" s="14">
        <v>49.914769999999997</v>
      </c>
      <c r="M320" s="9">
        <v>54.855490000000003</v>
      </c>
      <c r="N320" s="9">
        <v>56.473460000000003</v>
      </c>
      <c r="O320" s="14">
        <v>50.009590000000003</v>
      </c>
      <c r="P320" s="9">
        <v>54.883940000000003</v>
      </c>
      <c r="Q320" s="9">
        <v>56.502780000000001</v>
      </c>
      <c r="R320" s="23">
        <v>40.475670000000001</v>
      </c>
      <c r="S320" s="8">
        <v>9.4820000000000002E-2</v>
      </c>
      <c r="T320" s="9">
        <v>2.845E-2</v>
      </c>
      <c r="U320" s="24">
        <v>2.9319999999999999E-2</v>
      </c>
    </row>
    <row r="321" spans="1:21" ht="12" customHeight="1" x14ac:dyDescent="0.25">
      <c r="A321" s="5">
        <v>547</v>
      </c>
      <c r="B321" s="19" t="s">
        <v>171</v>
      </c>
      <c r="C321" s="19" t="s">
        <v>12</v>
      </c>
      <c r="D321" s="5" t="s">
        <v>172</v>
      </c>
      <c r="E321" s="6">
        <v>366972.27956052002</v>
      </c>
      <c r="F321" s="6">
        <v>6548140.8064441001</v>
      </c>
      <c r="G321" s="7" t="str">
        <f>HYPERLINK("https://minkarta.lantmateriet.se/?e=366972,27956052&amp;n=6548140,8064441&amp;z=12&amp;profile=flygbildmedgranser&amp;background=2&amp;boundaries=true","Visa")</f>
        <v>Visa</v>
      </c>
      <c r="H321" s="5" t="s">
        <v>15</v>
      </c>
      <c r="I321" s="8">
        <v>47.918950000000002</v>
      </c>
      <c r="J321" s="9">
        <v>53.375619999999998</v>
      </c>
      <c r="K321" s="9">
        <v>54.904200000000003</v>
      </c>
      <c r="L321" s="14">
        <v>48.849080000000001</v>
      </c>
      <c r="M321" s="9">
        <v>53.804729999999999</v>
      </c>
      <c r="N321" s="9">
        <v>55.422699999999999</v>
      </c>
      <c r="O321" s="14">
        <v>48.935339999999997</v>
      </c>
      <c r="P321" s="9">
        <v>53.833179999999999</v>
      </c>
      <c r="Q321" s="9">
        <v>55.452010000000001</v>
      </c>
      <c r="R321" s="23">
        <v>25.73968</v>
      </c>
      <c r="S321" s="8">
        <v>8.6260000000000003E-2</v>
      </c>
      <c r="T321" s="9">
        <v>2.845E-2</v>
      </c>
      <c r="U321" s="24">
        <v>2.9309999999999999E-2</v>
      </c>
    </row>
    <row r="322" spans="1:21" ht="12" customHeight="1" x14ac:dyDescent="0.25">
      <c r="A322" s="5">
        <v>548</v>
      </c>
      <c r="B322" s="19" t="s">
        <v>173</v>
      </c>
      <c r="C322" s="19" t="s">
        <v>12</v>
      </c>
      <c r="D322" s="5" t="s">
        <v>174</v>
      </c>
      <c r="E322" s="6">
        <v>367012.91880107002</v>
      </c>
      <c r="F322" s="6">
        <v>6548128.0902524004</v>
      </c>
      <c r="G322" s="7" t="str">
        <f>HYPERLINK("https://minkarta.lantmateriet.se/?e=367012,91880107&amp;n=6548128,0902524&amp;z=12&amp;profile=flygbildmedgranser&amp;background=2&amp;boundaries=true","Visa")</f>
        <v>Visa</v>
      </c>
      <c r="H322" s="5" t="s">
        <v>8</v>
      </c>
      <c r="I322" s="8">
        <v>38.782359999999997</v>
      </c>
      <c r="J322" s="9">
        <v>47.705889999999997</v>
      </c>
      <c r="K322" s="9">
        <v>49.234470000000002</v>
      </c>
      <c r="L322" s="14">
        <v>39.722679999999997</v>
      </c>
      <c r="M322" s="9">
        <v>48.134990000000002</v>
      </c>
      <c r="N322" s="9">
        <v>50.23301</v>
      </c>
      <c r="O322" s="14">
        <v>40.05706</v>
      </c>
      <c r="P322" s="9">
        <v>48.163440000000001</v>
      </c>
      <c r="Q322" s="9">
        <v>50.601750000000003</v>
      </c>
      <c r="R322" s="23">
        <v>36.674630000000001</v>
      </c>
      <c r="S322" s="8">
        <v>0.33438000000000001</v>
      </c>
      <c r="T322" s="9">
        <v>2.845E-2</v>
      </c>
      <c r="U322" s="24">
        <v>0.36874000000000001</v>
      </c>
    </row>
    <row r="323" spans="1:21" ht="12" customHeight="1" x14ac:dyDescent="0.25">
      <c r="A323" s="5">
        <v>549</v>
      </c>
      <c r="B323" s="19" t="s">
        <v>173</v>
      </c>
      <c r="C323" s="19" t="s">
        <v>12</v>
      </c>
      <c r="D323" s="5" t="s">
        <v>174</v>
      </c>
      <c r="E323" s="6">
        <v>367011.67476215999</v>
      </c>
      <c r="F323" s="6">
        <v>6548133.8987958003</v>
      </c>
      <c r="G323" s="7" t="str">
        <f>HYPERLINK("https://minkarta.lantmateriet.se/?e=367011,67476216&amp;n=6548133,8987958&amp;z=12&amp;profile=flygbildmedgranser&amp;background=2&amp;boundaries=true","Visa")</f>
        <v>Visa</v>
      </c>
      <c r="H323" s="5" t="s">
        <v>9</v>
      </c>
      <c r="I323" s="8">
        <v>42.161079999999998</v>
      </c>
      <c r="J323" s="9">
        <v>48.335419999999999</v>
      </c>
      <c r="K323" s="9">
        <v>49.863999999999997</v>
      </c>
      <c r="L323" s="14">
        <v>43.100059999999999</v>
      </c>
      <c r="M323" s="9">
        <v>48.764530000000001</v>
      </c>
      <c r="N323" s="9">
        <v>50.382489999999997</v>
      </c>
      <c r="O323" s="14">
        <v>43.250610000000002</v>
      </c>
      <c r="P323" s="9">
        <v>48.79298</v>
      </c>
      <c r="Q323" s="9">
        <v>50.558329999999998</v>
      </c>
      <c r="R323" s="23">
        <v>37.687719999999999</v>
      </c>
      <c r="S323" s="8">
        <v>0.15054999999999999</v>
      </c>
      <c r="T323" s="9">
        <v>2.845E-2</v>
      </c>
      <c r="U323" s="24">
        <v>0.17584</v>
      </c>
    </row>
    <row r="324" spans="1:21" ht="12" customHeight="1" x14ac:dyDescent="0.25">
      <c r="A324" s="5">
        <v>550</v>
      </c>
      <c r="B324" s="19" t="s">
        <v>173</v>
      </c>
      <c r="C324" s="19" t="s">
        <v>12</v>
      </c>
      <c r="D324" s="5" t="s">
        <v>174</v>
      </c>
      <c r="E324" s="6">
        <v>367007.33120676997</v>
      </c>
      <c r="F324" s="6">
        <v>6548133.9697623998</v>
      </c>
      <c r="G324" s="7" t="str">
        <f>HYPERLINK("https://minkarta.lantmateriet.se/?e=367007,33120677&amp;n=6548133,9697624&amp;z=12&amp;profile=flygbildmedgranser&amp;background=2&amp;boundaries=true","Visa")</f>
        <v>Visa</v>
      </c>
      <c r="H324" s="5" t="s">
        <v>10</v>
      </c>
      <c r="I324" s="8">
        <v>44.494799999999998</v>
      </c>
      <c r="J324" s="9">
        <v>52.77758</v>
      </c>
      <c r="K324" s="9">
        <v>54.306159999999998</v>
      </c>
      <c r="L324" s="14">
        <v>45.421570000000003</v>
      </c>
      <c r="M324" s="9">
        <v>53.206679999999999</v>
      </c>
      <c r="N324" s="9">
        <v>54.824649999999998</v>
      </c>
      <c r="O324" s="14">
        <v>45.522269999999999</v>
      </c>
      <c r="P324" s="9">
        <v>53.235129999999998</v>
      </c>
      <c r="Q324" s="9">
        <v>54.853969999999997</v>
      </c>
      <c r="R324" s="23">
        <v>38.082590000000003</v>
      </c>
      <c r="S324" s="8">
        <v>0.1007</v>
      </c>
      <c r="T324" s="9">
        <v>2.845E-2</v>
      </c>
      <c r="U324" s="24">
        <v>2.9319999999999999E-2</v>
      </c>
    </row>
    <row r="325" spans="1:21" ht="12" customHeight="1" x14ac:dyDescent="0.25">
      <c r="A325" s="5">
        <v>551</v>
      </c>
      <c r="B325" s="19" t="s">
        <v>173</v>
      </c>
      <c r="C325" s="19" t="s">
        <v>12</v>
      </c>
      <c r="D325" s="5" t="s">
        <v>174</v>
      </c>
      <c r="E325" s="6">
        <v>367004.39619339001</v>
      </c>
      <c r="F325" s="6">
        <v>6548131.4047376001</v>
      </c>
      <c r="G325" s="7" t="str">
        <f>HYPERLINK("https://minkarta.lantmateriet.se/?e=367004,39619339&amp;n=6548131,4047376&amp;z=12&amp;profile=flygbildmedgranser&amp;background=2&amp;boundaries=true","Visa")</f>
        <v>Visa</v>
      </c>
      <c r="H325" s="5" t="s">
        <v>10</v>
      </c>
      <c r="I325" s="8">
        <v>47.693860000000001</v>
      </c>
      <c r="J325" s="9">
        <v>52.828220000000002</v>
      </c>
      <c r="K325" s="9">
        <v>54.3568</v>
      </c>
      <c r="L325" s="14">
        <v>48.626739999999998</v>
      </c>
      <c r="M325" s="9">
        <v>53.25732</v>
      </c>
      <c r="N325" s="9">
        <v>54.87529</v>
      </c>
      <c r="O325" s="14">
        <v>48.717950000000002</v>
      </c>
      <c r="P325" s="9">
        <v>53.285769999999999</v>
      </c>
      <c r="Q325" s="9">
        <v>54.904609999999998</v>
      </c>
      <c r="R325" s="23">
        <v>39.855620000000002</v>
      </c>
      <c r="S325" s="8">
        <v>9.1209999999999999E-2</v>
      </c>
      <c r="T325" s="9">
        <v>2.845E-2</v>
      </c>
      <c r="U325" s="24">
        <v>2.9319999999999999E-2</v>
      </c>
    </row>
    <row r="326" spans="1:21" ht="12" customHeight="1" x14ac:dyDescent="0.25">
      <c r="A326" s="5">
        <v>552</v>
      </c>
      <c r="B326" s="19" t="s">
        <v>173</v>
      </c>
      <c r="C326" s="19" t="s">
        <v>12</v>
      </c>
      <c r="D326" s="5" t="s">
        <v>174</v>
      </c>
      <c r="E326" s="6">
        <v>367007.38024529</v>
      </c>
      <c r="F326" s="6">
        <v>6548125.9512051996</v>
      </c>
      <c r="G326" s="7" t="str">
        <f>HYPERLINK("https://minkarta.lantmateriet.se/?e=367007,38024529&amp;n=6548125,9512052&amp;z=12&amp;profile=flygbildmedgranser&amp;background=2&amp;boundaries=true","Visa")</f>
        <v>Visa</v>
      </c>
      <c r="H326" s="5" t="s">
        <v>11</v>
      </c>
      <c r="I326" s="8">
        <v>43.020440000000001</v>
      </c>
      <c r="J326" s="9">
        <v>51.313720000000004</v>
      </c>
      <c r="K326" s="9">
        <v>52.842300000000002</v>
      </c>
      <c r="L326" s="14">
        <v>43.939259999999997</v>
      </c>
      <c r="M326" s="9">
        <v>51.742820000000002</v>
      </c>
      <c r="N326" s="9">
        <v>53.360790000000001</v>
      </c>
      <c r="O326" s="14">
        <v>44.051740000000002</v>
      </c>
      <c r="P326" s="9">
        <v>51.771270000000001</v>
      </c>
      <c r="Q326" s="9">
        <v>53.39011</v>
      </c>
      <c r="R326" s="23">
        <v>34.038760000000003</v>
      </c>
      <c r="S326" s="8">
        <v>0.11248</v>
      </c>
      <c r="T326" s="9">
        <v>2.845E-2</v>
      </c>
      <c r="U326" s="24">
        <v>2.9319999999999999E-2</v>
      </c>
    </row>
    <row r="327" spans="1:21" ht="12" customHeight="1" x14ac:dyDescent="0.25">
      <c r="A327" s="5">
        <v>553</v>
      </c>
      <c r="B327" s="19" t="s">
        <v>175</v>
      </c>
      <c r="C327" s="19" t="s">
        <v>12</v>
      </c>
      <c r="D327" s="5" t="s">
        <v>176</v>
      </c>
      <c r="E327" s="6">
        <v>367002.03882746998</v>
      </c>
      <c r="F327" s="6">
        <v>6548108.2253016001</v>
      </c>
      <c r="G327" s="7" t="str">
        <f>HYPERLINK("https://minkarta.lantmateriet.se/?e=367002,03882747&amp;n=6548108,2253016&amp;z=12&amp;profile=flygbildmedgranser&amp;background=2&amp;boundaries=true","Visa")</f>
        <v>Visa</v>
      </c>
      <c r="H327" s="5" t="s">
        <v>8</v>
      </c>
      <c r="I327" s="8">
        <v>38.923639999999999</v>
      </c>
      <c r="J327" s="9">
        <v>48.901809999999998</v>
      </c>
      <c r="K327" s="9">
        <v>50.430390000000003</v>
      </c>
      <c r="L327" s="14">
        <v>39.870060000000002</v>
      </c>
      <c r="M327" s="9">
        <v>49.330919999999999</v>
      </c>
      <c r="N327" s="9">
        <v>50.948880000000003</v>
      </c>
      <c r="O327" s="14">
        <v>40.187579999999997</v>
      </c>
      <c r="P327" s="9">
        <v>49.359369999999998</v>
      </c>
      <c r="Q327" s="9">
        <v>50.978209999999997</v>
      </c>
      <c r="R327" s="23">
        <v>34.988770000000002</v>
      </c>
      <c r="S327" s="8">
        <v>0.31752000000000002</v>
      </c>
      <c r="T327" s="9">
        <v>2.845E-2</v>
      </c>
      <c r="U327" s="24">
        <v>2.9329999999999998E-2</v>
      </c>
    </row>
    <row r="328" spans="1:21" ht="12" customHeight="1" x14ac:dyDescent="0.25">
      <c r="A328" s="5">
        <v>554</v>
      </c>
      <c r="B328" s="19" t="s">
        <v>175</v>
      </c>
      <c r="C328" s="19" t="s">
        <v>12</v>
      </c>
      <c r="D328" s="5" t="s">
        <v>176</v>
      </c>
      <c r="E328" s="6">
        <v>367000.66470815998</v>
      </c>
      <c r="F328" s="6">
        <v>6548114.2988248002</v>
      </c>
      <c r="G328" s="7" t="str">
        <f>HYPERLINK("https://minkarta.lantmateriet.se/?e=367000,66470816&amp;n=6548114,2988248&amp;z=12&amp;profile=flygbildmedgranser&amp;background=2&amp;boundaries=true","Visa")</f>
        <v>Visa</v>
      </c>
      <c r="H328" s="5" t="s">
        <v>9</v>
      </c>
      <c r="I328" s="8">
        <v>42.8294</v>
      </c>
      <c r="J328" s="9">
        <v>52.656959999999998</v>
      </c>
      <c r="K328" s="9">
        <v>54.185540000000003</v>
      </c>
      <c r="L328" s="14">
        <v>43.761290000000002</v>
      </c>
      <c r="M328" s="9">
        <v>53.086060000000003</v>
      </c>
      <c r="N328" s="9">
        <v>54.704030000000003</v>
      </c>
      <c r="O328" s="14">
        <v>43.905810000000002</v>
      </c>
      <c r="P328" s="9">
        <v>53.114510000000003</v>
      </c>
      <c r="Q328" s="9">
        <v>54.733350000000002</v>
      </c>
      <c r="R328" s="23">
        <v>36.02449</v>
      </c>
      <c r="S328" s="8">
        <v>0.14452000000000001</v>
      </c>
      <c r="T328" s="9">
        <v>2.845E-2</v>
      </c>
      <c r="U328" s="24">
        <v>2.9319999999999999E-2</v>
      </c>
    </row>
    <row r="329" spans="1:21" ht="12" customHeight="1" x14ac:dyDescent="0.25">
      <c r="A329" s="5">
        <v>555</v>
      </c>
      <c r="B329" s="19" t="s">
        <v>175</v>
      </c>
      <c r="C329" s="19" t="s">
        <v>12</v>
      </c>
      <c r="D329" s="5" t="s">
        <v>176</v>
      </c>
      <c r="E329" s="6">
        <v>366996.20618579001</v>
      </c>
      <c r="F329" s="6">
        <v>6548114.5897235004</v>
      </c>
      <c r="G329" s="7" t="str">
        <f>HYPERLINK("https://minkarta.lantmateriet.se/?e=366996,20618579&amp;n=6548114,5897235&amp;z=12&amp;profile=flygbildmedgranser&amp;background=2&amp;boundaries=true","Visa")</f>
        <v>Visa</v>
      </c>
      <c r="H329" s="5" t="s">
        <v>10</v>
      </c>
      <c r="I329" s="8">
        <v>45.064979999999998</v>
      </c>
      <c r="J329" s="9">
        <v>54.36795</v>
      </c>
      <c r="K329" s="9">
        <v>55.896529999999998</v>
      </c>
      <c r="L329" s="14">
        <v>45.983890000000002</v>
      </c>
      <c r="M329" s="9">
        <v>54.797060000000002</v>
      </c>
      <c r="N329" s="9">
        <v>56.415019999999998</v>
      </c>
      <c r="O329" s="14">
        <v>46.089790000000001</v>
      </c>
      <c r="P329" s="9">
        <v>54.825510000000001</v>
      </c>
      <c r="Q329" s="9">
        <v>56.444339999999997</v>
      </c>
      <c r="R329" s="23">
        <v>34.161940000000001</v>
      </c>
      <c r="S329" s="8">
        <v>0.10589999999999999</v>
      </c>
      <c r="T329" s="9">
        <v>2.845E-2</v>
      </c>
      <c r="U329" s="24">
        <v>2.9319999999999999E-2</v>
      </c>
    </row>
    <row r="330" spans="1:21" ht="12" customHeight="1" x14ac:dyDescent="0.25">
      <c r="A330" s="5">
        <v>556</v>
      </c>
      <c r="B330" s="19" t="s">
        <v>175</v>
      </c>
      <c r="C330" s="19" t="s">
        <v>12</v>
      </c>
      <c r="D330" s="5" t="s">
        <v>176</v>
      </c>
      <c r="E330" s="6">
        <v>366993.18618452002</v>
      </c>
      <c r="F330" s="6">
        <v>6548112.1247210996</v>
      </c>
      <c r="G330" s="7" t="str">
        <f>HYPERLINK("https://minkarta.lantmateriet.se/?e=366993,18618452&amp;n=6548112,1247211&amp;z=12&amp;profile=flygbildmedgranser&amp;background=2&amp;boundaries=true","Visa")</f>
        <v>Visa</v>
      </c>
      <c r="H330" s="5" t="s">
        <v>10</v>
      </c>
      <c r="I330" s="8">
        <v>49.427390000000003</v>
      </c>
      <c r="J330" s="9">
        <v>55.08464</v>
      </c>
      <c r="K330" s="9">
        <v>56.613219999999998</v>
      </c>
      <c r="L330" s="14">
        <v>50.355899999999998</v>
      </c>
      <c r="M330" s="9">
        <v>55.513750000000002</v>
      </c>
      <c r="N330" s="9">
        <v>57.131709999999998</v>
      </c>
      <c r="O330" s="14">
        <v>50.439480000000003</v>
      </c>
      <c r="P330" s="9">
        <v>55.542200000000001</v>
      </c>
      <c r="Q330" s="9">
        <v>57.161029999999997</v>
      </c>
      <c r="R330" s="23">
        <v>36.051490000000001</v>
      </c>
      <c r="S330" s="8">
        <v>8.3580000000000002E-2</v>
      </c>
      <c r="T330" s="9">
        <v>2.845E-2</v>
      </c>
      <c r="U330" s="24">
        <v>2.9319999999999999E-2</v>
      </c>
    </row>
    <row r="331" spans="1:21" ht="12" customHeight="1" x14ac:dyDescent="0.25">
      <c r="A331" s="5">
        <v>557</v>
      </c>
      <c r="B331" s="19" t="s">
        <v>175</v>
      </c>
      <c r="C331" s="19" t="s">
        <v>12</v>
      </c>
      <c r="D331" s="5" t="s">
        <v>176</v>
      </c>
      <c r="E331" s="6">
        <v>366993.16118754999</v>
      </c>
      <c r="F331" s="6">
        <v>6548108.8847267004</v>
      </c>
      <c r="G331" s="7" t="str">
        <f>HYPERLINK("https://minkarta.lantmateriet.se/?e=366993,16118755&amp;n=6548108,8847267&amp;z=12&amp;profile=flygbildmedgranser&amp;background=2&amp;boundaries=true","Visa")</f>
        <v>Visa</v>
      </c>
      <c r="H331" s="5" t="s">
        <v>10</v>
      </c>
      <c r="I331" s="8">
        <v>49.443399999999997</v>
      </c>
      <c r="J331" s="9">
        <v>53.823779999999999</v>
      </c>
      <c r="K331" s="9">
        <v>55.352359999999997</v>
      </c>
      <c r="L331" s="14">
        <v>50.373860000000001</v>
      </c>
      <c r="M331" s="9">
        <v>54.252890000000001</v>
      </c>
      <c r="N331" s="9">
        <v>55.870849999999997</v>
      </c>
      <c r="O331" s="14">
        <v>50.461539999999999</v>
      </c>
      <c r="P331" s="9">
        <v>54.28134</v>
      </c>
      <c r="Q331" s="9">
        <v>55.900170000000003</v>
      </c>
      <c r="R331" s="23">
        <v>36.463039999999999</v>
      </c>
      <c r="S331" s="8">
        <v>8.7679999999999994E-2</v>
      </c>
      <c r="T331" s="9">
        <v>2.845E-2</v>
      </c>
      <c r="U331" s="24">
        <v>2.9319999999999999E-2</v>
      </c>
    </row>
    <row r="332" spans="1:21" ht="12" customHeight="1" x14ac:dyDescent="0.25">
      <c r="A332" s="5">
        <v>558</v>
      </c>
      <c r="B332" s="19" t="s">
        <v>175</v>
      </c>
      <c r="C332" s="19" t="s">
        <v>12</v>
      </c>
      <c r="D332" s="5" t="s">
        <v>176</v>
      </c>
      <c r="E332" s="6">
        <v>366996.23028937</v>
      </c>
      <c r="F332" s="6">
        <v>6548105.9861815004</v>
      </c>
      <c r="G332" s="7" t="str">
        <f>HYPERLINK("https://minkarta.lantmateriet.se/?e=366996,23028937&amp;n=6548105,9861815&amp;z=12&amp;profile=flygbildmedgranser&amp;background=2&amp;boundaries=true","Visa")</f>
        <v>Visa</v>
      </c>
      <c r="H332" s="5" t="s">
        <v>11</v>
      </c>
      <c r="I332" s="8">
        <v>46.149050000000003</v>
      </c>
      <c r="J332" s="9">
        <v>52.632510000000003</v>
      </c>
      <c r="K332" s="9">
        <v>54.161090000000002</v>
      </c>
      <c r="L332" s="14">
        <v>47.081989999999998</v>
      </c>
      <c r="M332" s="9">
        <v>53.061619999999998</v>
      </c>
      <c r="N332" s="9">
        <v>54.679589999999997</v>
      </c>
      <c r="O332" s="14">
        <v>47.172280000000001</v>
      </c>
      <c r="P332" s="9">
        <v>53.090069999999997</v>
      </c>
      <c r="Q332" s="9">
        <v>54.708910000000003</v>
      </c>
      <c r="R332" s="23">
        <v>26.948060000000002</v>
      </c>
      <c r="S332" s="8">
        <v>9.0289999999999995E-2</v>
      </c>
      <c r="T332" s="9">
        <v>2.845E-2</v>
      </c>
      <c r="U332" s="24">
        <v>2.9319999999999999E-2</v>
      </c>
    </row>
    <row r="333" spans="1:21" ht="12" customHeight="1" x14ac:dyDescent="0.25">
      <c r="A333" s="5">
        <v>742</v>
      </c>
      <c r="B333" s="19" t="s">
        <v>177</v>
      </c>
      <c r="C333" s="19" t="s">
        <v>12</v>
      </c>
      <c r="D333" s="5" t="s">
        <v>178</v>
      </c>
      <c r="E333" s="6">
        <v>367253.52311249002</v>
      </c>
      <c r="F333" s="6">
        <v>6548523.6565869004</v>
      </c>
      <c r="G333" s="7" t="str">
        <f>HYPERLINK("https://minkarta.lantmateriet.se/?e=367253,52311249&amp;n=6548523,6565869&amp;z=12&amp;profile=flygbildmedgranser&amp;background=2&amp;boundaries=true","Visa")</f>
        <v>Visa</v>
      </c>
      <c r="H333" s="5" t="s">
        <v>8</v>
      </c>
      <c r="I333" s="8">
        <v>39.111649999999997</v>
      </c>
      <c r="J333" s="9">
        <v>46.374679999999998</v>
      </c>
      <c r="K333" s="9">
        <v>47.82864</v>
      </c>
      <c r="L333" s="14">
        <v>40.051569999999998</v>
      </c>
      <c r="M333" s="9">
        <v>46.874169999999999</v>
      </c>
      <c r="N333" s="9">
        <v>50.344830000000002</v>
      </c>
      <c r="O333" s="14">
        <v>40.316099999999999</v>
      </c>
      <c r="P333" s="9">
        <v>47.858989999999999</v>
      </c>
      <c r="Q333" s="9">
        <v>50.713569999999997</v>
      </c>
      <c r="R333" s="23">
        <v>25.787990000000001</v>
      </c>
      <c r="S333" s="8">
        <v>0.26452999999999999</v>
      </c>
      <c r="T333" s="9">
        <v>0.98482000000000003</v>
      </c>
      <c r="U333" s="24">
        <v>0.36874000000000001</v>
      </c>
    </row>
    <row r="334" spans="1:21" ht="12" customHeight="1" x14ac:dyDescent="0.25">
      <c r="A334" s="5">
        <v>743</v>
      </c>
      <c r="B334" s="19" t="s">
        <v>177</v>
      </c>
      <c r="C334" s="19" t="s">
        <v>12</v>
      </c>
      <c r="D334" s="5" t="s">
        <v>178</v>
      </c>
      <c r="E334" s="6">
        <v>367259.02511306998</v>
      </c>
      <c r="F334" s="6">
        <v>6548526.8710872997</v>
      </c>
      <c r="G334" s="7" t="str">
        <f>HYPERLINK("https://minkarta.lantmateriet.se/?e=367259,02511307&amp;n=6548526,8710873&amp;z=12&amp;profile=flygbildmedgranser&amp;background=2&amp;boundaries=true","Visa")</f>
        <v>Visa</v>
      </c>
      <c r="H334" s="5" t="s">
        <v>8</v>
      </c>
      <c r="I334" s="8">
        <v>39.20194</v>
      </c>
      <c r="J334" s="9">
        <v>45.930990000000001</v>
      </c>
      <c r="K334" s="9">
        <v>47.384950000000003</v>
      </c>
      <c r="L334" s="14">
        <v>40.14273</v>
      </c>
      <c r="M334" s="9">
        <v>46.430480000000003</v>
      </c>
      <c r="N334" s="9">
        <v>49.901150000000001</v>
      </c>
      <c r="O334" s="14">
        <v>40.377519999999997</v>
      </c>
      <c r="P334" s="9">
        <v>47.415300000000002</v>
      </c>
      <c r="Q334" s="9">
        <v>50.269880000000001</v>
      </c>
      <c r="R334" s="23">
        <v>23.886579999999999</v>
      </c>
      <c r="S334" s="8">
        <v>0.23479</v>
      </c>
      <c r="T334" s="9">
        <v>0.98482000000000003</v>
      </c>
      <c r="U334" s="24">
        <v>0.36873</v>
      </c>
    </row>
    <row r="335" spans="1:21" ht="12" customHeight="1" x14ac:dyDescent="0.25">
      <c r="A335" s="5">
        <v>744</v>
      </c>
      <c r="B335" s="19" t="s">
        <v>177</v>
      </c>
      <c r="C335" s="19" t="s">
        <v>12</v>
      </c>
      <c r="D335" s="5" t="s">
        <v>178</v>
      </c>
      <c r="E335" s="6">
        <v>367258.95241552999</v>
      </c>
      <c r="F335" s="6">
        <v>6548532.7901143003</v>
      </c>
      <c r="G335" s="7" t="str">
        <f>HYPERLINK("https://minkarta.lantmateriet.se/?e=367258,95241553&amp;n=6548532,7901143&amp;z=12&amp;profile=flygbildmedgranser&amp;background=2&amp;boundaries=true","Visa")</f>
        <v>Visa</v>
      </c>
      <c r="H335" s="5" t="s">
        <v>9</v>
      </c>
      <c r="I335" s="8">
        <v>35.940710000000003</v>
      </c>
      <c r="J335" s="9">
        <v>42.515030000000003</v>
      </c>
      <c r="K335" s="9">
        <v>43.969000000000001</v>
      </c>
      <c r="L335" s="14">
        <v>36.858350000000002</v>
      </c>
      <c r="M335" s="9">
        <v>43.014530000000001</v>
      </c>
      <c r="N335" s="9">
        <v>46.485190000000003</v>
      </c>
      <c r="O335" s="14">
        <v>37.084699999999998</v>
      </c>
      <c r="P335" s="9">
        <v>43.99935</v>
      </c>
      <c r="Q335" s="9">
        <v>46.853920000000002</v>
      </c>
      <c r="R335" s="23">
        <v>30.44998</v>
      </c>
      <c r="S335" s="8">
        <v>0.22635</v>
      </c>
      <c r="T335" s="9">
        <v>0.98482000000000003</v>
      </c>
      <c r="U335" s="24">
        <v>0.36873</v>
      </c>
    </row>
    <row r="336" spans="1:21" ht="12" customHeight="1" x14ac:dyDescent="0.25">
      <c r="A336" s="5">
        <v>745</v>
      </c>
      <c r="B336" s="19" t="s">
        <v>177</v>
      </c>
      <c r="C336" s="19" t="s">
        <v>12</v>
      </c>
      <c r="D336" s="5" t="s">
        <v>178</v>
      </c>
      <c r="E336" s="6">
        <v>367254.42088763003</v>
      </c>
      <c r="F336" s="6">
        <v>6548535.2654157002</v>
      </c>
      <c r="G336" s="7" t="str">
        <f>HYPERLINK("https://minkarta.lantmateriet.se/?e=367254,42088763&amp;n=6548535,2654157&amp;z=12&amp;profile=flygbildmedgranser&amp;background=2&amp;boundaries=true","Visa")</f>
        <v>Visa</v>
      </c>
      <c r="H336" s="5" t="s">
        <v>10</v>
      </c>
      <c r="I336" s="8">
        <v>35.710929999999998</v>
      </c>
      <c r="J336" s="9">
        <v>37.985520000000001</v>
      </c>
      <c r="K336" s="9">
        <v>39.514099999999999</v>
      </c>
      <c r="L336" s="14">
        <v>36.644260000000003</v>
      </c>
      <c r="M336" s="9">
        <v>38.414630000000002</v>
      </c>
      <c r="N336" s="9">
        <v>40.032589999999999</v>
      </c>
      <c r="O336" s="14">
        <v>36.898650000000004</v>
      </c>
      <c r="P336" s="9">
        <v>38.443080000000002</v>
      </c>
      <c r="Q336" s="9">
        <v>40.061909999999997</v>
      </c>
      <c r="R336" s="23">
        <v>34.687280000000001</v>
      </c>
      <c r="S336" s="8">
        <v>0.25439000000000001</v>
      </c>
      <c r="T336" s="9">
        <v>2.845E-2</v>
      </c>
      <c r="U336" s="24">
        <v>2.9319999999999999E-2</v>
      </c>
    </row>
    <row r="337" spans="1:21" ht="12" customHeight="1" x14ac:dyDescent="0.25">
      <c r="A337" s="5">
        <v>746</v>
      </c>
      <c r="B337" s="19" t="s">
        <v>177</v>
      </c>
      <c r="C337" s="19" t="s">
        <v>12</v>
      </c>
      <c r="D337" s="5" t="s">
        <v>178</v>
      </c>
      <c r="E337" s="6">
        <v>367249.17338789999</v>
      </c>
      <c r="F337" s="6">
        <v>6548531.7199159004</v>
      </c>
      <c r="G337" s="7" t="str">
        <f>HYPERLINK("https://minkarta.lantmateriet.se/?e=367249,1733879&amp;n=6548531,7199159&amp;z=12&amp;profile=flygbildmedgranser&amp;background=2&amp;boundaries=true","Visa")</f>
        <v>Visa</v>
      </c>
      <c r="H337" s="5" t="s">
        <v>10</v>
      </c>
      <c r="I337" s="8">
        <v>34.989930000000001</v>
      </c>
      <c r="J337" s="9">
        <v>36.937019999999997</v>
      </c>
      <c r="K337" s="9">
        <v>38.465600000000002</v>
      </c>
      <c r="L337" s="14">
        <v>35.924790000000002</v>
      </c>
      <c r="M337" s="9">
        <v>37.366129999999998</v>
      </c>
      <c r="N337" s="9">
        <v>38.984090000000002</v>
      </c>
      <c r="O337" s="14">
        <v>36.166960000000003</v>
      </c>
      <c r="P337" s="9">
        <v>37.394579999999998</v>
      </c>
      <c r="Q337" s="9">
        <v>39.01341</v>
      </c>
      <c r="R337" s="23">
        <v>33.279200000000003</v>
      </c>
      <c r="S337" s="8">
        <v>0.24217</v>
      </c>
      <c r="T337" s="9">
        <v>2.845E-2</v>
      </c>
      <c r="U337" s="24">
        <v>2.9319999999999999E-2</v>
      </c>
    </row>
    <row r="338" spans="1:21" ht="12" customHeight="1" x14ac:dyDescent="0.25">
      <c r="A338" s="5">
        <v>747</v>
      </c>
      <c r="B338" s="19" t="s">
        <v>177</v>
      </c>
      <c r="C338" s="19" t="s">
        <v>12</v>
      </c>
      <c r="D338" s="5" t="s">
        <v>178</v>
      </c>
      <c r="E338" s="6">
        <v>367248.56008721999</v>
      </c>
      <c r="F338" s="6">
        <v>6548525.5348886997</v>
      </c>
      <c r="G338" s="7" t="str">
        <f>HYPERLINK("https://minkarta.lantmateriet.se/?e=367248,56008722&amp;n=6548525,5348887&amp;z=12&amp;profile=flygbildmedgranser&amp;background=2&amp;boundaries=true","Visa")</f>
        <v>Visa</v>
      </c>
      <c r="H338" s="5" t="s">
        <v>11</v>
      </c>
      <c r="I338" s="8">
        <v>38.720689999999998</v>
      </c>
      <c r="J338" s="9">
        <v>43.746259999999999</v>
      </c>
      <c r="K338" s="9">
        <v>45.274839999999998</v>
      </c>
      <c r="L338" s="14">
        <v>39.66574</v>
      </c>
      <c r="M338" s="9">
        <v>44.175370000000001</v>
      </c>
      <c r="N338" s="9">
        <v>47.449680000000001</v>
      </c>
      <c r="O338" s="14">
        <v>39.953020000000002</v>
      </c>
      <c r="P338" s="9">
        <v>44.963839999999998</v>
      </c>
      <c r="Q338" s="9">
        <v>47.818420000000003</v>
      </c>
      <c r="R338" s="23">
        <v>33.64378</v>
      </c>
      <c r="S338" s="8">
        <v>0.28727999999999998</v>
      </c>
      <c r="T338" s="9">
        <v>0.78847</v>
      </c>
      <c r="U338" s="24">
        <v>0.36874000000000001</v>
      </c>
    </row>
    <row r="339" spans="1:21" ht="12" customHeight="1" x14ac:dyDescent="0.25">
      <c r="A339" s="5">
        <v>748</v>
      </c>
      <c r="B339" s="19" t="s">
        <v>179</v>
      </c>
      <c r="C339" s="19" t="s">
        <v>12</v>
      </c>
      <c r="D339" s="5" t="s">
        <v>180</v>
      </c>
      <c r="E339" s="6">
        <v>367233.40718566999</v>
      </c>
      <c r="F339" s="6">
        <v>6548510.4581439001</v>
      </c>
      <c r="G339" s="7" t="str">
        <f>HYPERLINK("https://minkarta.lantmateriet.se/?e=367233,40718567&amp;n=6548510,4581439&amp;z=12&amp;profile=flygbildmedgranser&amp;background=2&amp;boundaries=true","Visa")</f>
        <v>Visa</v>
      </c>
      <c r="H339" s="5" t="s">
        <v>8</v>
      </c>
      <c r="I339" s="8">
        <v>38.310699999999997</v>
      </c>
      <c r="J339" s="9">
        <v>45.850859999999997</v>
      </c>
      <c r="K339" s="9">
        <v>47.304819999999999</v>
      </c>
      <c r="L339" s="14">
        <v>39.248869999999997</v>
      </c>
      <c r="M339" s="9">
        <v>46.350360000000002</v>
      </c>
      <c r="N339" s="9">
        <v>49.821010000000001</v>
      </c>
      <c r="O339" s="14">
        <v>39.535510000000002</v>
      </c>
      <c r="P339" s="9">
        <v>47.335169999999998</v>
      </c>
      <c r="Q339" s="9">
        <v>50.189749999999997</v>
      </c>
      <c r="R339" s="23">
        <v>34.784880000000001</v>
      </c>
      <c r="S339" s="8">
        <v>0.28664000000000001</v>
      </c>
      <c r="T339" s="9">
        <v>0.98480999999999996</v>
      </c>
      <c r="U339" s="24">
        <v>0.36874000000000001</v>
      </c>
    </row>
    <row r="340" spans="1:21" ht="12" customHeight="1" x14ac:dyDescent="0.25">
      <c r="A340" s="5">
        <v>749</v>
      </c>
      <c r="B340" s="19" t="s">
        <v>179</v>
      </c>
      <c r="C340" s="19" t="s">
        <v>12</v>
      </c>
      <c r="D340" s="5" t="s">
        <v>180</v>
      </c>
      <c r="E340" s="6">
        <v>367235.97335892002</v>
      </c>
      <c r="F340" s="6">
        <v>6548517.9481868995</v>
      </c>
      <c r="G340" s="7" t="str">
        <f>HYPERLINK("https://minkarta.lantmateriet.se/?e=367235,97335892&amp;n=6548517,9481869&amp;z=12&amp;profile=flygbildmedgranser&amp;background=2&amp;boundaries=true","Visa")</f>
        <v>Visa</v>
      </c>
      <c r="H340" s="5" t="s">
        <v>9</v>
      </c>
      <c r="I340" s="8">
        <v>36.848100000000002</v>
      </c>
      <c r="J340" s="9">
        <v>43.659120000000001</v>
      </c>
      <c r="K340" s="9">
        <v>45.113079999999997</v>
      </c>
      <c r="L340" s="14">
        <v>37.787019999999998</v>
      </c>
      <c r="M340" s="9">
        <v>44.158619999999999</v>
      </c>
      <c r="N340" s="9">
        <v>47.629269999999998</v>
      </c>
      <c r="O340" s="14">
        <v>38.038080000000001</v>
      </c>
      <c r="P340" s="9">
        <v>45.143430000000002</v>
      </c>
      <c r="Q340" s="9">
        <v>47.998010000000001</v>
      </c>
      <c r="R340" s="23">
        <v>27.13776</v>
      </c>
      <c r="S340" s="8">
        <v>0.25106000000000001</v>
      </c>
      <c r="T340" s="9">
        <v>0.98480999999999996</v>
      </c>
      <c r="U340" s="24">
        <v>0.36874000000000001</v>
      </c>
    </row>
    <row r="341" spans="1:21" ht="12" customHeight="1" x14ac:dyDescent="0.25">
      <c r="A341" s="5">
        <v>750</v>
      </c>
      <c r="B341" s="19" t="s">
        <v>179</v>
      </c>
      <c r="C341" s="19" t="s">
        <v>12</v>
      </c>
      <c r="D341" s="5" t="s">
        <v>180</v>
      </c>
      <c r="E341" s="6">
        <v>367228.08931716997</v>
      </c>
      <c r="F341" s="6">
        <v>6548517.2143607996</v>
      </c>
      <c r="G341" s="7" t="str">
        <f>HYPERLINK("https://minkarta.lantmateriet.se/?e=367228,08931717&amp;n=6548517,2143608&amp;z=12&amp;profile=flygbildmedgranser&amp;background=2&amp;boundaries=true","Visa")</f>
        <v>Visa</v>
      </c>
      <c r="H341" s="5" t="s">
        <v>10</v>
      </c>
      <c r="I341" s="8">
        <v>33.549039999999998</v>
      </c>
      <c r="J341" s="9">
        <v>34.599440000000001</v>
      </c>
      <c r="K341" s="9">
        <v>36.128019999999999</v>
      </c>
      <c r="L341" s="14">
        <v>34.483319999999999</v>
      </c>
      <c r="M341" s="9">
        <v>35.028550000000003</v>
      </c>
      <c r="N341" s="9">
        <v>36.646509999999999</v>
      </c>
      <c r="O341" s="14">
        <v>34.703319999999998</v>
      </c>
      <c r="P341" s="9">
        <v>35.04486</v>
      </c>
      <c r="Q341" s="9">
        <v>36.663699999999999</v>
      </c>
      <c r="R341" s="23">
        <v>26.628229999999999</v>
      </c>
      <c r="S341" s="8">
        <v>0.22</v>
      </c>
      <c r="T341" s="9">
        <v>1.6310000000000002E-2</v>
      </c>
      <c r="U341" s="24">
        <v>1.719E-2</v>
      </c>
    </row>
    <row r="342" spans="1:21" ht="12" customHeight="1" x14ac:dyDescent="0.25">
      <c r="A342" s="5">
        <v>751</v>
      </c>
      <c r="B342" s="19" t="s">
        <v>179</v>
      </c>
      <c r="C342" s="19" t="s">
        <v>12</v>
      </c>
      <c r="D342" s="5" t="s">
        <v>180</v>
      </c>
      <c r="E342" s="6">
        <v>367225.52314319997</v>
      </c>
      <c r="F342" s="6">
        <v>6548509.7243168997</v>
      </c>
      <c r="G342" s="7" t="str">
        <f>HYPERLINK("https://minkarta.lantmateriet.se/?e=367225,5231432&amp;n=6548509,7243169&amp;z=12&amp;profile=flygbildmedgranser&amp;background=2&amp;boundaries=true","Visa")</f>
        <v>Visa</v>
      </c>
      <c r="H342" s="5" t="s">
        <v>11</v>
      </c>
      <c r="I342" s="8">
        <v>36.341099999999997</v>
      </c>
      <c r="J342" s="9">
        <v>48.018169999999998</v>
      </c>
      <c r="K342" s="9">
        <v>49.47213</v>
      </c>
      <c r="L342" s="14">
        <v>37.274729999999998</v>
      </c>
      <c r="M342" s="9">
        <v>48.517659999999999</v>
      </c>
      <c r="N342" s="9">
        <v>51.988320000000002</v>
      </c>
      <c r="O342" s="14">
        <v>37.796779999999998</v>
      </c>
      <c r="P342" s="9">
        <v>49.502479999999998</v>
      </c>
      <c r="Q342" s="9">
        <v>52.357059999999997</v>
      </c>
      <c r="R342" s="23">
        <v>37.226730000000003</v>
      </c>
      <c r="S342" s="8">
        <v>0.52205000000000001</v>
      </c>
      <c r="T342" s="9">
        <v>0.98482000000000003</v>
      </c>
      <c r="U342" s="24">
        <v>0.36874000000000001</v>
      </c>
    </row>
    <row r="343" spans="1:21" ht="12" customHeight="1" x14ac:dyDescent="0.25">
      <c r="A343" s="5">
        <v>752</v>
      </c>
      <c r="B343" s="19" t="s">
        <v>181</v>
      </c>
      <c r="C343" s="19" t="s">
        <v>12</v>
      </c>
      <c r="D343" s="5" t="s">
        <v>182</v>
      </c>
      <c r="E343" s="6">
        <v>367202.12614238</v>
      </c>
      <c r="F343" s="6">
        <v>6548514.0413180003</v>
      </c>
      <c r="G343" s="7" t="str">
        <f>HYPERLINK("https://minkarta.lantmateriet.se/?e=367202,12614238&amp;n=6548514,041318&amp;z=12&amp;profile=flygbildmedgranser&amp;background=2&amp;boundaries=true","Visa")</f>
        <v>Visa</v>
      </c>
      <c r="H343" s="5" t="s">
        <v>11</v>
      </c>
      <c r="I343" s="8">
        <v>37.263330000000003</v>
      </c>
      <c r="J343" s="9">
        <v>45.724600000000002</v>
      </c>
      <c r="K343" s="9">
        <v>47.178570000000001</v>
      </c>
      <c r="L343" s="14">
        <v>38.20955</v>
      </c>
      <c r="M343" s="9">
        <v>46.2241</v>
      </c>
      <c r="N343" s="9">
        <v>49.694760000000002</v>
      </c>
      <c r="O343" s="14">
        <v>38.552219999999998</v>
      </c>
      <c r="P343" s="9">
        <v>47.209060000000001</v>
      </c>
      <c r="Q343" s="9">
        <v>50.063630000000003</v>
      </c>
      <c r="R343" s="23">
        <v>33.623109999999997</v>
      </c>
      <c r="S343" s="8">
        <v>0.34266999999999997</v>
      </c>
      <c r="T343" s="9">
        <v>0.98495999999999995</v>
      </c>
      <c r="U343" s="24">
        <v>0.36886999999999998</v>
      </c>
    </row>
    <row r="344" spans="1:21" ht="12" customHeight="1" x14ac:dyDescent="0.25">
      <c r="A344" s="5">
        <v>753</v>
      </c>
      <c r="B344" s="19" t="s">
        <v>181</v>
      </c>
      <c r="C344" s="19" t="s">
        <v>12</v>
      </c>
      <c r="D344" s="5" t="s">
        <v>182</v>
      </c>
      <c r="E344" s="6">
        <v>367210.54818346002</v>
      </c>
      <c r="F344" s="6">
        <v>6548514.1231421996</v>
      </c>
      <c r="G344" s="7" t="str">
        <f>HYPERLINK("https://minkarta.lantmateriet.se/?e=367210,54818346&amp;n=6548514,1231422&amp;z=12&amp;profile=flygbildmedgranser&amp;background=2&amp;boundaries=true","Visa")</f>
        <v>Visa</v>
      </c>
      <c r="H344" s="5" t="s">
        <v>8</v>
      </c>
      <c r="I344" s="8">
        <v>36.540660000000003</v>
      </c>
      <c r="J344" s="9">
        <v>40.241289999999999</v>
      </c>
      <c r="K344" s="9">
        <v>41.695259999999998</v>
      </c>
      <c r="L344" s="14">
        <v>37.474629999999998</v>
      </c>
      <c r="M344" s="9">
        <v>40.740789999999997</v>
      </c>
      <c r="N344" s="9">
        <v>44.211440000000003</v>
      </c>
      <c r="O344" s="14">
        <v>37.713270000000001</v>
      </c>
      <c r="P344" s="9">
        <v>41.725610000000003</v>
      </c>
      <c r="Q344" s="9">
        <v>44.580179999999999</v>
      </c>
      <c r="R344" s="23">
        <v>25.56944</v>
      </c>
      <c r="S344" s="8">
        <v>0.23863999999999999</v>
      </c>
      <c r="T344" s="9">
        <v>0.98482000000000003</v>
      </c>
      <c r="U344" s="24">
        <v>0.36874000000000001</v>
      </c>
    </row>
    <row r="345" spans="1:21" ht="12" customHeight="1" x14ac:dyDescent="0.25">
      <c r="A345" s="5">
        <v>754</v>
      </c>
      <c r="B345" s="19" t="s">
        <v>181</v>
      </c>
      <c r="C345" s="19" t="s">
        <v>12</v>
      </c>
      <c r="D345" s="5" t="s">
        <v>182</v>
      </c>
      <c r="E345" s="6">
        <v>367212.61086055997</v>
      </c>
      <c r="F345" s="6">
        <v>6548522.2876848001</v>
      </c>
      <c r="G345" s="7" t="str">
        <f>HYPERLINK("https://minkarta.lantmateriet.se/?e=367212,61086056&amp;n=6548522,2876848&amp;z=12&amp;profile=flygbildmedgranser&amp;background=2&amp;boundaries=true","Visa")</f>
        <v>Visa</v>
      </c>
      <c r="H345" s="5" t="s">
        <v>9</v>
      </c>
      <c r="I345" s="8">
        <v>32.666789999999999</v>
      </c>
      <c r="J345" s="9">
        <v>34.948599999999999</v>
      </c>
      <c r="K345" s="9">
        <v>36.477179999999997</v>
      </c>
      <c r="L345" s="14">
        <v>33.587119999999999</v>
      </c>
      <c r="M345" s="9">
        <v>35.37771</v>
      </c>
      <c r="N345" s="9">
        <v>36.99568</v>
      </c>
      <c r="O345" s="14">
        <v>33.818660000000001</v>
      </c>
      <c r="P345" s="9">
        <v>35.40616</v>
      </c>
      <c r="Q345" s="9">
        <v>37.024999999999999</v>
      </c>
      <c r="R345" s="23">
        <v>25.807379999999998</v>
      </c>
      <c r="S345" s="8">
        <v>0.23154</v>
      </c>
      <c r="T345" s="9">
        <v>2.845E-2</v>
      </c>
      <c r="U345" s="24">
        <v>2.9319999999999999E-2</v>
      </c>
    </row>
    <row r="346" spans="1:21" ht="12" customHeight="1" x14ac:dyDescent="0.25">
      <c r="A346" s="5">
        <v>755</v>
      </c>
      <c r="B346" s="19" t="s">
        <v>181</v>
      </c>
      <c r="C346" s="19" t="s">
        <v>12</v>
      </c>
      <c r="D346" s="5" t="s">
        <v>182</v>
      </c>
      <c r="E346" s="6">
        <v>367204.18881927</v>
      </c>
      <c r="F346" s="6">
        <v>6548522.2058624001</v>
      </c>
      <c r="G346" s="7" t="str">
        <f>HYPERLINK("https://minkarta.lantmateriet.se/?e=367204,18881927&amp;n=6548522,2058624&amp;z=12&amp;profile=flygbildmedgranser&amp;background=2&amp;boundaries=true","Visa")</f>
        <v>Visa</v>
      </c>
      <c r="H346" s="5" t="s">
        <v>10</v>
      </c>
      <c r="I346" s="8">
        <v>32.723779999999998</v>
      </c>
      <c r="J346" s="9">
        <v>36.706760000000003</v>
      </c>
      <c r="K346" s="9">
        <v>38.235340000000001</v>
      </c>
      <c r="L346" s="14">
        <v>33.655090000000001</v>
      </c>
      <c r="M346" s="9">
        <v>37.135869999999997</v>
      </c>
      <c r="N346" s="9">
        <v>38.753839999999997</v>
      </c>
      <c r="O346" s="14">
        <v>33.982689999999998</v>
      </c>
      <c r="P346" s="9">
        <v>37.164319999999996</v>
      </c>
      <c r="Q346" s="9">
        <v>38.783160000000002</v>
      </c>
      <c r="R346" s="23">
        <v>29.42267</v>
      </c>
      <c r="S346" s="8">
        <v>0.3276</v>
      </c>
      <c r="T346" s="9">
        <v>2.845E-2</v>
      </c>
      <c r="U346" s="24">
        <v>2.9319999999999999E-2</v>
      </c>
    </row>
    <row r="347" spans="1:21" ht="12" customHeight="1" x14ac:dyDescent="0.25">
      <c r="A347" s="5">
        <v>756</v>
      </c>
      <c r="B347" s="19" t="s">
        <v>183</v>
      </c>
      <c r="C347" s="19" t="s">
        <v>12</v>
      </c>
      <c r="D347" s="5" t="s">
        <v>184</v>
      </c>
      <c r="E347" s="6">
        <v>367190.90285123</v>
      </c>
      <c r="F347" s="6">
        <v>6548521.8842778001</v>
      </c>
      <c r="G347" s="7" t="str">
        <f>HYPERLINK("https://minkarta.lantmateriet.se/?e=367190,90285123&amp;n=6548521,8842778&amp;z=12&amp;profile=flygbildmedgranser&amp;background=2&amp;boundaries=true","Visa")</f>
        <v>Visa</v>
      </c>
      <c r="H347" s="5" t="s">
        <v>13</v>
      </c>
      <c r="I347" s="8">
        <v>32.961500000000001</v>
      </c>
      <c r="J347" s="9">
        <v>39.62238</v>
      </c>
      <c r="K347" s="9">
        <v>41.076349999999998</v>
      </c>
      <c r="L347" s="14">
        <v>33.889679999999998</v>
      </c>
      <c r="M347" s="9">
        <v>40.121879999999997</v>
      </c>
      <c r="N347" s="9">
        <v>43.59254</v>
      </c>
      <c r="O347" s="14">
        <v>34.326259999999998</v>
      </c>
      <c r="P347" s="9">
        <v>41.106699999999996</v>
      </c>
      <c r="Q347" s="9">
        <v>43.961269999999999</v>
      </c>
      <c r="R347" s="23">
        <v>25.328690000000002</v>
      </c>
      <c r="S347" s="8">
        <v>0.43658000000000002</v>
      </c>
      <c r="T347" s="9">
        <v>0.98482000000000003</v>
      </c>
      <c r="U347" s="24">
        <v>0.36873</v>
      </c>
    </row>
    <row r="348" spans="1:21" ht="12" customHeight="1" x14ac:dyDescent="0.25">
      <c r="A348" s="5">
        <v>757</v>
      </c>
      <c r="B348" s="19" t="s">
        <v>183</v>
      </c>
      <c r="C348" s="19" t="s">
        <v>12</v>
      </c>
      <c r="D348" s="5" t="s">
        <v>184</v>
      </c>
      <c r="E348" s="6">
        <v>367185.45572529</v>
      </c>
      <c r="F348" s="6">
        <v>6548528.1588522</v>
      </c>
      <c r="G348" s="7" t="str">
        <f>HYPERLINK("https://minkarta.lantmateriet.se/?e=367185,45572529&amp;n=6548528,1588522&amp;z=12&amp;profile=flygbildmedgranser&amp;background=2&amp;boundaries=true","Visa")</f>
        <v>Visa</v>
      </c>
      <c r="H348" s="5" t="s">
        <v>14</v>
      </c>
      <c r="I348" s="8">
        <v>32.549289999999999</v>
      </c>
      <c r="J348" s="9">
        <v>31.367239999999999</v>
      </c>
      <c r="K348" s="9">
        <v>32.895820000000001</v>
      </c>
      <c r="L348" s="14">
        <v>33.474400000000003</v>
      </c>
      <c r="M348" s="9">
        <v>31.79635</v>
      </c>
      <c r="N348" s="9">
        <v>33.669280000000001</v>
      </c>
      <c r="O348" s="14">
        <v>33.856630000000003</v>
      </c>
      <c r="P348" s="9">
        <v>31.8248</v>
      </c>
      <c r="Q348" s="9">
        <v>34.038020000000003</v>
      </c>
      <c r="R348" s="23">
        <v>29.417529999999999</v>
      </c>
      <c r="S348" s="8">
        <v>0.38223000000000001</v>
      </c>
      <c r="T348" s="9">
        <v>2.845E-2</v>
      </c>
      <c r="U348" s="24">
        <v>0.36874000000000001</v>
      </c>
    </row>
    <row r="349" spans="1:21" ht="12" customHeight="1" x14ac:dyDescent="0.25">
      <c r="A349" s="5">
        <v>758</v>
      </c>
      <c r="B349" s="19" t="s">
        <v>183</v>
      </c>
      <c r="C349" s="19" t="s">
        <v>12</v>
      </c>
      <c r="D349" s="5" t="s">
        <v>184</v>
      </c>
      <c r="E349" s="6">
        <v>367178.20115079999</v>
      </c>
      <c r="F349" s="6">
        <v>6548524.1082263999</v>
      </c>
      <c r="G349" s="7" t="str">
        <f>HYPERLINK("https://minkarta.lantmateriet.se/?e=367178,2011508&amp;n=6548524,1082264&amp;z=12&amp;profile=flygbildmedgranser&amp;background=2&amp;boundaries=true","Visa")</f>
        <v>Visa</v>
      </c>
      <c r="H349" s="5" t="s">
        <v>16</v>
      </c>
      <c r="I349" s="8">
        <v>36.578490000000002</v>
      </c>
      <c r="J349" s="9">
        <v>41.441099999999999</v>
      </c>
      <c r="K349" s="9">
        <v>42.895060000000001</v>
      </c>
      <c r="L349" s="14">
        <v>37.503100000000003</v>
      </c>
      <c r="M349" s="9">
        <v>41.94059</v>
      </c>
      <c r="N349" s="9">
        <v>45.411250000000003</v>
      </c>
      <c r="O349" s="14">
        <v>37.858130000000003</v>
      </c>
      <c r="P349" s="9">
        <v>42.925409999999999</v>
      </c>
      <c r="Q349" s="9">
        <v>45.779989999999998</v>
      </c>
      <c r="R349" s="23">
        <v>35.901769999999999</v>
      </c>
      <c r="S349" s="8">
        <v>0.35503000000000001</v>
      </c>
      <c r="T349" s="9">
        <v>0.98482000000000003</v>
      </c>
      <c r="U349" s="24">
        <v>0.36874000000000001</v>
      </c>
    </row>
    <row r="350" spans="1:21" ht="12" customHeight="1" x14ac:dyDescent="0.25">
      <c r="A350" s="5">
        <v>759</v>
      </c>
      <c r="B350" s="19" t="s">
        <v>183</v>
      </c>
      <c r="C350" s="19" t="s">
        <v>12</v>
      </c>
      <c r="D350" s="5" t="s">
        <v>184</v>
      </c>
      <c r="E350" s="6">
        <v>367183.64827594999</v>
      </c>
      <c r="F350" s="6">
        <v>6548517.8336519003</v>
      </c>
      <c r="G350" s="7" t="str">
        <f>HYPERLINK("https://minkarta.lantmateriet.se/?e=367183,64827595&amp;n=6548517,8336519&amp;z=12&amp;profile=flygbildmedgranser&amp;background=2&amp;boundaries=true","Visa")</f>
        <v>Visa</v>
      </c>
      <c r="H350" s="5" t="s">
        <v>15</v>
      </c>
      <c r="I350" s="8">
        <v>38.703740000000003</v>
      </c>
      <c r="J350" s="9">
        <v>43.307479999999998</v>
      </c>
      <c r="K350" s="9">
        <v>44.76144</v>
      </c>
      <c r="L350" s="14">
        <v>39.649679999999996</v>
      </c>
      <c r="M350" s="9">
        <v>43.80697</v>
      </c>
      <c r="N350" s="9">
        <v>47.277630000000002</v>
      </c>
      <c r="O350" s="14">
        <v>39.980150000000002</v>
      </c>
      <c r="P350" s="9">
        <v>44.791789999999999</v>
      </c>
      <c r="Q350" s="9">
        <v>47.646369999999997</v>
      </c>
      <c r="R350" s="23">
        <v>36.609589999999997</v>
      </c>
      <c r="S350" s="8">
        <v>0.33046999999999999</v>
      </c>
      <c r="T350" s="9">
        <v>0.98482000000000003</v>
      </c>
      <c r="U350" s="24">
        <v>0.36874000000000001</v>
      </c>
    </row>
    <row r="351" spans="1:21" ht="12" customHeight="1" x14ac:dyDescent="0.25">
      <c r="A351" s="5">
        <v>760</v>
      </c>
      <c r="B351" s="19" t="s">
        <v>185</v>
      </c>
      <c r="C351" s="19" t="s">
        <v>12</v>
      </c>
      <c r="D351" s="5" t="s">
        <v>186</v>
      </c>
      <c r="E351" s="6">
        <v>367118.78412979998</v>
      </c>
      <c r="F351" s="6">
        <v>6548529.1571786003</v>
      </c>
      <c r="G351" s="7" t="str">
        <f>HYPERLINK("https://minkarta.lantmateriet.se/?e=367118,7841298&amp;n=6548529,1571786&amp;z=12&amp;profile=flygbildmedgranser&amp;background=2&amp;boundaries=true","Visa")</f>
        <v>Visa</v>
      </c>
      <c r="H351" s="5" t="s">
        <v>15</v>
      </c>
      <c r="I351" s="8">
        <v>40.976779999999998</v>
      </c>
      <c r="J351" s="9">
        <v>49.000680000000003</v>
      </c>
      <c r="K351" s="9">
        <v>50.454639999999998</v>
      </c>
      <c r="L351" s="14">
        <v>41.905169999999998</v>
      </c>
      <c r="M351" s="9">
        <v>49.50018</v>
      </c>
      <c r="N351" s="9">
        <v>52.970829999999999</v>
      </c>
      <c r="O351" s="14">
        <v>42.258360000000003</v>
      </c>
      <c r="P351" s="9">
        <v>50.484990000000003</v>
      </c>
      <c r="Q351" s="9">
        <v>53.339570000000002</v>
      </c>
      <c r="R351" s="23">
        <v>40.244509999999998</v>
      </c>
      <c r="S351" s="8">
        <v>0.35319</v>
      </c>
      <c r="T351" s="9">
        <v>0.98480999999999996</v>
      </c>
      <c r="U351" s="24">
        <v>0.36874000000000001</v>
      </c>
    </row>
    <row r="352" spans="1:21" ht="12" customHeight="1" x14ac:dyDescent="0.25">
      <c r="A352" s="5">
        <v>761</v>
      </c>
      <c r="B352" s="19" t="s">
        <v>185</v>
      </c>
      <c r="C352" s="19" t="s">
        <v>12</v>
      </c>
      <c r="D352" s="5" t="s">
        <v>186</v>
      </c>
      <c r="E352" s="6">
        <v>367125.50382442999</v>
      </c>
      <c r="F352" s="6">
        <v>6548532.2511310996</v>
      </c>
      <c r="G352" s="7" t="str">
        <f>HYPERLINK("https://minkarta.lantmateriet.se/?e=367125,50382443&amp;n=6548532,2511311&amp;z=12&amp;profile=flygbildmedgranser&amp;background=2&amp;boundaries=true","Visa")</f>
        <v>Visa</v>
      </c>
      <c r="H352" s="5" t="s">
        <v>13</v>
      </c>
      <c r="I352" s="8">
        <v>38.264449999999997</v>
      </c>
      <c r="J352" s="9">
        <v>40.178820000000002</v>
      </c>
      <c r="K352" s="9">
        <v>41.63279</v>
      </c>
      <c r="L352" s="14">
        <v>39.188769999999998</v>
      </c>
      <c r="M352" s="9">
        <v>40.678319999999999</v>
      </c>
      <c r="N352" s="9">
        <v>44.148980000000002</v>
      </c>
      <c r="O352" s="14">
        <v>39.325069999999997</v>
      </c>
      <c r="P352" s="9">
        <v>41.663139999999999</v>
      </c>
      <c r="Q352" s="9">
        <v>44.517710000000001</v>
      </c>
      <c r="R352" s="23">
        <v>26.534479999999999</v>
      </c>
      <c r="S352" s="8">
        <v>0.1363</v>
      </c>
      <c r="T352" s="9">
        <v>0.98482000000000003</v>
      </c>
      <c r="U352" s="24">
        <v>0.36873</v>
      </c>
    </row>
    <row r="353" spans="1:21" ht="12" customHeight="1" x14ac:dyDescent="0.25">
      <c r="A353" s="5">
        <v>762</v>
      </c>
      <c r="B353" s="19" t="s">
        <v>185</v>
      </c>
      <c r="C353" s="19" t="s">
        <v>12</v>
      </c>
      <c r="D353" s="5" t="s">
        <v>186</v>
      </c>
      <c r="E353" s="6">
        <v>367124.38187236001</v>
      </c>
      <c r="F353" s="6">
        <v>6548536.8388253003</v>
      </c>
      <c r="G353" s="7" t="str">
        <f>HYPERLINK("https://minkarta.lantmateriet.se/?e=367124,38187236&amp;n=6548536,8388253&amp;z=12&amp;profile=flygbildmedgranser&amp;background=2&amp;boundaries=true","Visa")</f>
        <v>Visa</v>
      </c>
      <c r="H353" s="5" t="s">
        <v>14</v>
      </c>
      <c r="I353" s="8">
        <v>38.192689999999999</v>
      </c>
      <c r="J353" s="9">
        <v>38.106479999999998</v>
      </c>
      <c r="K353" s="9">
        <v>39.675229999999999</v>
      </c>
      <c r="L353" s="14">
        <v>39.123570000000001</v>
      </c>
      <c r="M353" s="9">
        <v>38.563009999999998</v>
      </c>
      <c r="N353" s="9">
        <v>41.217829999999999</v>
      </c>
      <c r="O353" s="14">
        <v>39.31429</v>
      </c>
      <c r="P353" s="9">
        <v>38.731990000000003</v>
      </c>
      <c r="Q353" s="9">
        <v>41.586570000000002</v>
      </c>
      <c r="R353" s="23">
        <v>36.775489999999998</v>
      </c>
      <c r="S353" s="8">
        <v>0.19072</v>
      </c>
      <c r="T353" s="9">
        <v>0.16897999999999999</v>
      </c>
      <c r="U353" s="24">
        <v>0.36874000000000001</v>
      </c>
    </row>
    <row r="354" spans="1:21" ht="12" customHeight="1" x14ac:dyDescent="0.25">
      <c r="A354" s="5">
        <v>763</v>
      </c>
      <c r="B354" s="19" t="s">
        <v>185</v>
      </c>
      <c r="C354" s="19" t="s">
        <v>12</v>
      </c>
      <c r="D354" s="5" t="s">
        <v>186</v>
      </c>
      <c r="E354" s="6">
        <v>367119.84987123997</v>
      </c>
      <c r="F354" s="6">
        <v>6548535.9683256</v>
      </c>
      <c r="G354" s="7" t="str">
        <f>HYPERLINK("https://minkarta.lantmateriet.se/?e=367119,84987124&amp;n=6548535,9683256&amp;z=12&amp;profile=flygbildmedgranser&amp;background=2&amp;boundaries=true","Visa")</f>
        <v>Visa</v>
      </c>
      <c r="H354" s="5" t="s">
        <v>14</v>
      </c>
      <c r="I354" s="8">
        <v>37.79025</v>
      </c>
      <c r="J354" s="9">
        <v>38.394080000000002</v>
      </c>
      <c r="K354" s="9">
        <v>39.92266</v>
      </c>
      <c r="L354" s="14">
        <v>38.704659999999997</v>
      </c>
      <c r="M354" s="9">
        <v>38.823189999999997</v>
      </c>
      <c r="N354" s="9">
        <v>40.673470000000002</v>
      </c>
      <c r="O354" s="14">
        <v>38.917149999999999</v>
      </c>
      <c r="P354" s="9">
        <v>38.851640000000003</v>
      </c>
      <c r="Q354" s="9">
        <v>41.042209999999997</v>
      </c>
      <c r="R354" s="23">
        <v>39.653820000000003</v>
      </c>
      <c r="S354" s="8">
        <v>0.21249000000000001</v>
      </c>
      <c r="T354" s="9">
        <v>2.845E-2</v>
      </c>
      <c r="U354" s="24">
        <v>0.36874000000000001</v>
      </c>
    </row>
    <row r="355" spans="1:21" ht="12" customHeight="1" x14ac:dyDescent="0.25">
      <c r="A355" s="5">
        <v>764</v>
      </c>
      <c r="B355" s="19" t="s">
        <v>185</v>
      </c>
      <c r="C355" s="19" t="s">
        <v>12</v>
      </c>
      <c r="D355" s="5" t="s">
        <v>186</v>
      </c>
      <c r="E355" s="6">
        <v>367115.54137279</v>
      </c>
      <c r="F355" s="6">
        <v>6548535.0583253</v>
      </c>
      <c r="G355" s="7" t="str">
        <f>HYPERLINK("https://minkarta.lantmateriet.se/?e=367115,54137279&amp;n=6548535,0583253&amp;z=12&amp;profile=flygbildmedgranser&amp;background=2&amp;boundaries=true","Visa")</f>
        <v>Visa</v>
      </c>
      <c r="H355" s="5" t="s">
        <v>14</v>
      </c>
      <c r="I355" s="8">
        <v>38.650550000000003</v>
      </c>
      <c r="J355" s="9">
        <v>41.523519999999998</v>
      </c>
      <c r="K355" s="9">
        <v>43.052100000000003</v>
      </c>
      <c r="L355" s="14">
        <v>39.570099999999996</v>
      </c>
      <c r="M355" s="9">
        <v>41.952629999999999</v>
      </c>
      <c r="N355" s="9">
        <v>43.570590000000003</v>
      </c>
      <c r="O355" s="14">
        <v>39.726739999999999</v>
      </c>
      <c r="P355" s="9">
        <v>41.981079999999999</v>
      </c>
      <c r="Q355" s="9">
        <v>43.599910000000001</v>
      </c>
      <c r="R355" s="23">
        <v>39.806840000000001</v>
      </c>
      <c r="S355" s="8">
        <v>0.15664</v>
      </c>
      <c r="T355" s="9">
        <v>2.845E-2</v>
      </c>
      <c r="U355" s="24">
        <v>2.9319999999999999E-2</v>
      </c>
    </row>
    <row r="356" spans="1:21" ht="12" customHeight="1" x14ac:dyDescent="0.25">
      <c r="A356" s="5">
        <v>765</v>
      </c>
      <c r="B356" s="19" t="s">
        <v>185</v>
      </c>
      <c r="C356" s="19" t="s">
        <v>12</v>
      </c>
      <c r="D356" s="5" t="s">
        <v>186</v>
      </c>
      <c r="E356" s="6">
        <v>367113.35367745999</v>
      </c>
      <c r="F356" s="6">
        <v>6548532.8333722996</v>
      </c>
      <c r="G356" s="7" t="str">
        <f>HYPERLINK("https://minkarta.lantmateriet.se/?e=367113,35367746&amp;n=6548532,8333723&amp;z=12&amp;profile=flygbildmedgranser&amp;background=2&amp;boundaries=true","Visa")</f>
        <v>Visa</v>
      </c>
      <c r="H356" s="5" t="s">
        <v>16</v>
      </c>
      <c r="I356" s="8">
        <v>41.781579999999998</v>
      </c>
      <c r="J356" s="9">
        <v>48.792059999999999</v>
      </c>
      <c r="K356" s="9">
        <v>50.246029999999998</v>
      </c>
      <c r="L356" s="14">
        <v>42.708970000000001</v>
      </c>
      <c r="M356" s="9">
        <v>49.291559999999997</v>
      </c>
      <c r="N356" s="9">
        <v>52.762219999999999</v>
      </c>
      <c r="O356" s="14">
        <v>43.012770000000003</v>
      </c>
      <c r="P356" s="9">
        <v>50.276380000000003</v>
      </c>
      <c r="Q356" s="9">
        <v>53.130949999999999</v>
      </c>
      <c r="R356" s="23">
        <v>42.455329999999996</v>
      </c>
      <c r="S356" s="8">
        <v>0.30380000000000001</v>
      </c>
      <c r="T356" s="9">
        <v>0.98482000000000003</v>
      </c>
      <c r="U356" s="24">
        <v>0.36873</v>
      </c>
    </row>
    <row r="357" spans="1:21" ht="12" customHeight="1" x14ac:dyDescent="0.25">
      <c r="A357" s="5">
        <v>766</v>
      </c>
      <c r="B357" s="19" t="s">
        <v>187</v>
      </c>
      <c r="C357" s="19" t="s">
        <v>12</v>
      </c>
      <c r="D357" s="5" t="s">
        <v>188</v>
      </c>
      <c r="E357" s="6">
        <v>367088.09600089001</v>
      </c>
      <c r="F357" s="6">
        <v>6548542.4054557998</v>
      </c>
      <c r="G357" s="7" t="str">
        <f>HYPERLINK("https://minkarta.lantmateriet.se/?e=367088,09600089&amp;n=6548542,4054558&amp;z=12&amp;profile=flygbildmedgranser&amp;background=2&amp;boundaries=true","Visa")</f>
        <v>Visa</v>
      </c>
      <c r="H357" s="5" t="s">
        <v>13</v>
      </c>
      <c r="I357" s="8">
        <v>35.088679999999997</v>
      </c>
      <c r="J357" s="9">
        <v>37.411700000000003</v>
      </c>
      <c r="K357" s="9">
        <v>38.865659999999998</v>
      </c>
      <c r="L357" s="14">
        <v>36.020090000000003</v>
      </c>
      <c r="M357" s="9">
        <v>37.911189999999998</v>
      </c>
      <c r="N357" s="9">
        <v>41.38185</v>
      </c>
      <c r="O357" s="14">
        <v>36.401499999999999</v>
      </c>
      <c r="P357" s="9">
        <v>38.896009999999997</v>
      </c>
      <c r="Q357" s="9">
        <v>41.750579999999999</v>
      </c>
      <c r="R357" s="23">
        <v>33.145980000000002</v>
      </c>
      <c r="S357" s="8">
        <v>0.38141000000000003</v>
      </c>
      <c r="T357" s="9">
        <v>0.98482000000000003</v>
      </c>
      <c r="U357" s="24">
        <v>0.36873</v>
      </c>
    </row>
    <row r="358" spans="1:21" ht="12" customHeight="1" x14ac:dyDescent="0.25">
      <c r="A358" s="5">
        <v>767</v>
      </c>
      <c r="B358" s="19" t="s">
        <v>187</v>
      </c>
      <c r="C358" s="19" t="s">
        <v>12</v>
      </c>
      <c r="D358" s="5" t="s">
        <v>188</v>
      </c>
      <c r="E358" s="6">
        <v>367086.87704604003</v>
      </c>
      <c r="F358" s="6">
        <v>6548545.0195019003</v>
      </c>
      <c r="G358" s="7" t="str">
        <f>HYPERLINK("https://minkarta.lantmateriet.se/?e=367086,87704604&amp;n=6548545,0195019&amp;z=12&amp;profile=flygbildmedgranser&amp;background=2&amp;boundaries=true","Visa")</f>
        <v>Visa</v>
      </c>
      <c r="H358" s="5" t="s">
        <v>14</v>
      </c>
      <c r="I358" s="8">
        <v>35.350090000000002</v>
      </c>
      <c r="J358" s="9">
        <v>41.202460000000002</v>
      </c>
      <c r="K358" s="9">
        <v>43.46996</v>
      </c>
      <c r="L358" s="14">
        <v>36.258459999999999</v>
      </c>
      <c r="M358" s="9">
        <v>41.862340000000003</v>
      </c>
      <c r="N358" s="9">
        <v>44.200629999999997</v>
      </c>
      <c r="O358" s="14">
        <v>36.561109999999999</v>
      </c>
      <c r="P358" s="9">
        <v>41.907260000000001</v>
      </c>
      <c r="Q358" s="9">
        <v>44.24342</v>
      </c>
      <c r="R358" s="23">
        <v>30.389199999999999</v>
      </c>
      <c r="S358" s="8">
        <v>0.30264999999999997</v>
      </c>
      <c r="T358" s="9">
        <v>4.4920000000000002E-2</v>
      </c>
      <c r="U358" s="24">
        <v>4.2790000000000002E-2</v>
      </c>
    </row>
    <row r="359" spans="1:21" ht="12" customHeight="1" x14ac:dyDescent="0.25">
      <c r="A359" s="5">
        <v>768</v>
      </c>
      <c r="B359" s="19" t="s">
        <v>187</v>
      </c>
      <c r="C359" s="19" t="s">
        <v>12</v>
      </c>
      <c r="D359" s="5" t="s">
        <v>188</v>
      </c>
      <c r="E359" s="6">
        <v>367085.67100089998</v>
      </c>
      <c r="F359" s="6">
        <v>6548546.1494578999</v>
      </c>
      <c r="G359" s="7" t="str">
        <f>HYPERLINK("https://minkarta.lantmateriet.se/?e=367085,6710009&amp;n=6548546,1494579&amp;z=12&amp;profile=flygbildmedgranser&amp;background=2&amp;boundaries=true","Visa")</f>
        <v>Visa</v>
      </c>
      <c r="H359" s="5" t="s">
        <v>13</v>
      </c>
      <c r="I359" s="8">
        <v>34.841799999999999</v>
      </c>
      <c r="J359" s="9">
        <v>38.458129999999997</v>
      </c>
      <c r="K359" s="9">
        <v>40.725639999999999</v>
      </c>
      <c r="L359" s="14">
        <v>35.751890000000003</v>
      </c>
      <c r="M359" s="9">
        <v>39.118020000000001</v>
      </c>
      <c r="N359" s="9">
        <v>41.456299999999999</v>
      </c>
      <c r="O359" s="14">
        <v>36.10548</v>
      </c>
      <c r="P359" s="9">
        <v>39.162939999999999</v>
      </c>
      <c r="Q359" s="9">
        <v>41.499090000000002</v>
      </c>
      <c r="R359" s="23">
        <v>34.71602</v>
      </c>
      <c r="S359" s="8">
        <v>0.35359000000000002</v>
      </c>
      <c r="T359" s="9">
        <v>4.4920000000000002E-2</v>
      </c>
      <c r="U359" s="24">
        <v>4.2790000000000002E-2</v>
      </c>
    </row>
    <row r="360" spans="1:21" ht="12" customHeight="1" x14ac:dyDescent="0.25">
      <c r="A360" s="5">
        <v>769</v>
      </c>
      <c r="B360" s="19" t="s">
        <v>187</v>
      </c>
      <c r="C360" s="19" t="s">
        <v>12</v>
      </c>
      <c r="D360" s="5" t="s">
        <v>188</v>
      </c>
      <c r="E360" s="6">
        <v>367083.69254407001</v>
      </c>
      <c r="F360" s="6">
        <v>6548547.3025019001</v>
      </c>
      <c r="G360" s="7" t="str">
        <f>HYPERLINK("https://minkarta.lantmateriet.se/?e=367083,69254407&amp;n=6548547,3025019&amp;z=12&amp;profile=flygbildmedgranser&amp;background=2&amp;boundaries=true","Visa")</f>
        <v>Visa</v>
      </c>
      <c r="H360" s="5" t="s">
        <v>14</v>
      </c>
      <c r="I360" s="8">
        <v>36.932839999999999</v>
      </c>
      <c r="J360" s="9">
        <v>43.458579999999998</v>
      </c>
      <c r="K360" s="9">
        <v>45.726080000000003</v>
      </c>
      <c r="L360" s="14">
        <v>37.824759999999998</v>
      </c>
      <c r="M360" s="9">
        <v>44.118459999999999</v>
      </c>
      <c r="N360" s="9">
        <v>46.45675</v>
      </c>
      <c r="O360" s="14">
        <v>38.136209999999998</v>
      </c>
      <c r="P360" s="9">
        <v>44.163379999999997</v>
      </c>
      <c r="Q360" s="9">
        <v>46.49953</v>
      </c>
      <c r="R360" s="23">
        <v>33.376869999999997</v>
      </c>
      <c r="S360" s="8">
        <v>0.31145</v>
      </c>
      <c r="T360" s="9">
        <v>4.4920000000000002E-2</v>
      </c>
      <c r="U360" s="24">
        <v>4.2779999999999999E-2</v>
      </c>
    </row>
    <row r="361" spans="1:21" ht="12" customHeight="1" x14ac:dyDescent="0.25">
      <c r="A361" s="5">
        <v>770</v>
      </c>
      <c r="B361" s="19" t="s">
        <v>187</v>
      </c>
      <c r="C361" s="19" t="s">
        <v>12</v>
      </c>
      <c r="D361" s="5" t="s">
        <v>188</v>
      </c>
      <c r="E361" s="6">
        <v>367081.70400109002</v>
      </c>
      <c r="F361" s="6">
        <v>6548546.1410451001</v>
      </c>
      <c r="G361" s="7" t="str">
        <f>HYPERLINK("https://minkarta.lantmateriet.se/?e=367081,70400109&amp;n=6548546,1410451&amp;z=12&amp;profile=flygbildmedgranser&amp;background=2&amp;boundaries=true","Visa")</f>
        <v>Visa</v>
      </c>
      <c r="H361" s="5" t="s">
        <v>16</v>
      </c>
      <c r="I361" s="8">
        <v>38.507390000000001</v>
      </c>
      <c r="J361" s="9">
        <v>41.947719999999997</v>
      </c>
      <c r="K361" s="9">
        <v>44.215220000000002</v>
      </c>
      <c r="L361" s="14">
        <v>39.407359999999997</v>
      </c>
      <c r="M361" s="9">
        <v>42.607599999999998</v>
      </c>
      <c r="N361" s="9">
        <v>44.945889999999999</v>
      </c>
      <c r="O361" s="14">
        <v>39.986170000000001</v>
      </c>
      <c r="P361" s="9">
        <v>42.652520000000003</v>
      </c>
      <c r="Q361" s="9">
        <v>44.988669999999999</v>
      </c>
      <c r="R361" s="23">
        <v>41.215409999999999</v>
      </c>
      <c r="S361" s="8">
        <v>0.57881000000000005</v>
      </c>
      <c r="T361" s="9">
        <v>4.4920000000000002E-2</v>
      </c>
      <c r="U361" s="24">
        <v>4.2779999999999999E-2</v>
      </c>
    </row>
    <row r="362" spans="1:21" ht="12" customHeight="1" x14ac:dyDescent="0.25">
      <c r="A362" s="5">
        <v>771</v>
      </c>
      <c r="B362" s="19" t="s">
        <v>187</v>
      </c>
      <c r="C362" s="19" t="s">
        <v>12</v>
      </c>
      <c r="D362" s="5" t="s">
        <v>188</v>
      </c>
      <c r="E362" s="6">
        <v>367080.32005139999</v>
      </c>
      <c r="F362" s="6">
        <v>6548544.9980018996</v>
      </c>
      <c r="G362" s="7" t="str">
        <f>HYPERLINK("https://minkarta.lantmateriet.se/?e=367080,3200514&amp;n=6548544,9980019&amp;z=12&amp;profile=flygbildmedgranser&amp;background=2&amp;boundaries=true","Visa")</f>
        <v>Visa</v>
      </c>
      <c r="H362" s="5" t="s">
        <v>14</v>
      </c>
      <c r="I362" s="8">
        <v>38.360689999999998</v>
      </c>
      <c r="J362" s="9">
        <v>45.408790000000003</v>
      </c>
      <c r="K362" s="9">
        <v>47.676290000000002</v>
      </c>
      <c r="L362" s="14">
        <v>39.257249999999999</v>
      </c>
      <c r="M362" s="9">
        <v>46.068669999999997</v>
      </c>
      <c r="N362" s="9">
        <v>48.406959999999998</v>
      </c>
      <c r="O362" s="14">
        <v>39.57761</v>
      </c>
      <c r="P362" s="9">
        <v>46.113590000000002</v>
      </c>
      <c r="Q362" s="9">
        <v>48.449739999999998</v>
      </c>
      <c r="R362" s="23">
        <v>33.647829999999999</v>
      </c>
      <c r="S362" s="8">
        <v>0.32035999999999998</v>
      </c>
      <c r="T362" s="9">
        <v>4.4920000000000002E-2</v>
      </c>
      <c r="U362" s="24">
        <v>4.2779999999999999E-2</v>
      </c>
    </row>
    <row r="363" spans="1:21" ht="12" customHeight="1" x14ac:dyDescent="0.25">
      <c r="A363" s="5">
        <v>772</v>
      </c>
      <c r="B363" s="19" t="s">
        <v>187</v>
      </c>
      <c r="C363" s="19" t="s">
        <v>12</v>
      </c>
      <c r="D363" s="5" t="s">
        <v>188</v>
      </c>
      <c r="E363" s="6">
        <v>367078.90950110002</v>
      </c>
      <c r="F363" s="6">
        <v>6548542.4215467004</v>
      </c>
      <c r="G363" s="7" t="str">
        <f>HYPERLINK("https://minkarta.lantmateriet.se/?e=367078,9095011&amp;n=6548542,4215467&amp;z=12&amp;profile=flygbildmedgranser&amp;background=2&amp;boundaries=true","Visa")</f>
        <v>Visa</v>
      </c>
      <c r="H363" s="5" t="s">
        <v>16</v>
      </c>
      <c r="I363" s="8">
        <v>40.665329999999997</v>
      </c>
      <c r="J363" s="9">
        <v>48.574010000000001</v>
      </c>
      <c r="K363" s="9">
        <v>50.027970000000003</v>
      </c>
      <c r="L363" s="14">
        <v>41.58099</v>
      </c>
      <c r="M363" s="9">
        <v>49.073509999999999</v>
      </c>
      <c r="N363" s="9">
        <v>52.544159999999998</v>
      </c>
      <c r="O363" s="14">
        <v>41.983220000000003</v>
      </c>
      <c r="P363" s="9">
        <v>50.058320000000002</v>
      </c>
      <c r="Q363" s="9">
        <v>52.9129</v>
      </c>
      <c r="R363" s="23">
        <v>41.25562</v>
      </c>
      <c r="S363" s="8">
        <v>0.40222999999999998</v>
      </c>
      <c r="T363" s="9">
        <v>0.98480999999999996</v>
      </c>
      <c r="U363" s="24">
        <v>0.36874000000000001</v>
      </c>
    </row>
    <row r="364" spans="1:21" ht="12" customHeight="1" x14ac:dyDescent="0.25">
      <c r="A364" s="5">
        <v>773</v>
      </c>
      <c r="B364" s="19" t="s">
        <v>187</v>
      </c>
      <c r="C364" s="19" t="s">
        <v>12</v>
      </c>
      <c r="D364" s="5" t="s">
        <v>188</v>
      </c>
      <c r="E364" s="6">
        <v>367083.49095627002</v>
      </c>
      <c r="F364" s="6">
        <v>6548539.8175021</v>
      </c>
      <c r="G364" s="7" t="str">
        <f>HYPERLINK("https://minkarta.lantmateriet.se/?e=367083,49095627&amp;n=6548539,8175021&amp;z=12&amp;profile=flygbildmedgranser&amp;background=2&amp;boundaries=true","Visa")</f>
        <v>Visa</v>
      </c>
      <c r="H364" s="5" t="s">
        <v>15</v>
      </c>
      <c r="I364" s="8">
        <v>39.923020000000001</v>
      </c>
      <c r="J364" s="9">
        <v>48.928370000000001</v>
      </c>
      <c r="K364" s="9">
        <v>50.382330000000003</v>
      </c>
      <c r="L364" s="14">
        <v>40.846629999999998</v>
      </c>
      <c r="M364" s="9">
        <v>49.427860000000003</v>
      </c>
      <c r="N364" s="9">
        <v>52.898519999999998</v>
      </c>
      <c r="O364" s="14">
        <v>41.298549999999999</v>
      </c>
      <c r="P364" s="9">
        <v>50.412680000000002</v>
      </c>
      <c r="Q364" s="9">
        <v>53.26726</v>
      </c>
      <c r="R364" s="23">
        <v>41.017620000000001</v>
      </c>
      <c r="S364" s="8">
        <v>0.45191999999999999</v>
      </c>
      <c r="T364" s="9">
        <v>0.98482000000000003</v>
      </c>
      <c r="U364" s="24">
        <v>0.36874000000000001</v>
      </c>
    </row>
    <row r="365" spans="1:21" ht="12" customHeight="1" x14ac:dyDescent="0.25">
      <c r="A365" s="5">
        <v>775</v>
      </c>
      <c r="B365" s="19" t="s">
        <v>189</v>
      </c>
      <c r="C365" s="19" t="s">
        <v>12</v>
      </c>
      <c r="D365" s="5" t="s">
        <v>190</v>
      </c>
      <c r="E365" s="6">
        <v>367080.87348042999</v>
      </c>
      <c r="F365" s="6">
        <v>6548563.1331182998</v>
      </c>
      <c r="G365" s="7" t="str">
        <f>HYPERLINK("https://minkarta.lantmateriet.se/?e=367080,87348043&amp;n=6548563,1331183&amp;z=12&amp;profile=flygbildmedgranser&amp;background=2&amp;boundaries=true","Visa")</f>
        <v>Visa</v>
      </c>
      <c r="H365" s="5" t="s">
        <v>15</v>
      </c>
      <c r="I365" s="8">
        <v>42.679209999999998</v>
      </c>
      <c r="J365" s="9">
        <v>49.232939999999999</v>
      </c>
      <c r="K365" s="9">
        <v>50.686909999999997</v>
      </c>
      <c r="L365" s="14">
        <v>43.602600000000002</v>
      </c>
      <c r="M365" s="9">
        <v>49.732439999999997</v>
      </c>
      <c r="N365" s="9">
        <v>53.203099999999999</v>
      </c>
      <c r="O365" s="14">
        <v>44.076039999999999</v>
      </c>
      <c r="P365" s="9">
        <v>50.717260000000003</v>
      </c>
      <c r="Q365" s="9">
        <v>53.571829999999999</v>
      </c>
      <c r="R365" s="23">
        <v>41.37135</v>
      </c>
      <c r="S365" s="8">
        <v>0.47344000000000003</v>
      </c>
      <c r="T365" s="9">
        <v>0.98482000000000003</v>
      </c>
      <c r="U365" s="24">
        <v>0.36873</v>
      </c>
    </row>
    <row r="366" spans="1:21" ht="12" customHeight="1" x14ac:dyDescent="0.25">
      <c r="A366" s="5">
        <v>776</v>
      </c>
      <c r="B366" s="19" t="s">
        <v>189</v>
      </c>
      <c r="C366" s="19" t="s">
        <v>12</v>
      </c>
      <c r="D366" s="5" t="s">
        <v>190</v>
      </c>
      <c r="E366" s="6">
        <v>367086.24488459999</v>
      </c>
      <c r="F366" s="6">
        <v>6548569.1734806998</v>
      </c>
      <c r="G366" s="7" t="str">
        <f>HYPERLINK("https://minkarta.lantmateriet.se/?e=367086,2448846&amp;n=6548569,1734807&amp;z=12&amp;profile=flygbildmedgranser&amp;background=2&amp;boundaries=true","Visa")</f>
        <v>Visa</v>
      </c>
      <c r="H366" s="5" t="s">
        <v>13</v>
      </c>
      <c r="I366" s="8">
        <v>39.334110000000003</v>
      </c>
      <c r="J366" s="9">
        <v>38.936219999999999</v>
      </c>
      <c r="K366" s="9">
        <v>40.50497</v>
      </c>
      <c r="L366" s="14">
        <v>40.25459</v>
      </c>
      <c r="M366" s="9">
        <v>39.392749999999999</v>
      </c>
      <c r="N366" s="9">
        <v>42.094720000000002</v>
      </c>
      <c r="O366" s="14">
        <v>40.444310000000002</v>
      </c>
      <c r="P366" s="9">
        <v>39.608879999999999</v>
      </c>
      <c r="Q366" s="9">
        <v>42.463459999999998</v>
      </c>
      <c r="R366" s="23">
        <v>27.0943</v>
      </c>
      <c r="S366" s="8">
        <v>0.18972</v>
      </c>
      <c r="T366" s="9">
        <v>0.21612999999999999</v>
      </c>
      <c r="U366" s="24">
        <v>0.36874000000000001</v>
      </c>
    </row>
    <row r="367" spans="1:21" ht="12" customHeight="1" x14ac:dyDescent="0.25">
      <c r="A367" s="5">
        <v>777</v>
      </c>
      <c r="B367" s="19" t="s">
        <v>189</v>
      </c>
      <c r="C367" s="19" t="s">
        <v>12</v>
      </c>
      <c r="D367" s="5" t="s">
        <v>190</v>
      </c>
      <c r="E367" s="6">
        <v>367079.96252177999</v>
      </c>
      <c r="F367" s="6">
        <v>6548577.0068856999</v>
      </c>
      <c r="G367" s="7" t="str">
        <f>HYPERLINK("https://minkarta.lantmateriet.se/?e=367079,96252178&amp;n=6548577,0068857&amp;z=12&amp;profile=flygbildmedgranser&amp;background=2&amp;boundaries=true","Visa")</f>
        <v>Visa</v>
      </c>
      <c r="H367" s="5" t="s">
        <v>14</v>
      </c>
      <c r="I367" s="8">
        <v>39.802639999999997</v>
      </c>
      <c r="J367" s="9">
        <v>38.120240000000003</v>
      </c>
      <c r="K367" s="9">
        <v>39.648820000000001</v>
      </c>
      <c r="L367" s="14">
        <v>40.721220000000002</v>
      </c>
      <c r="M367" s="9">
        <v>38.549340000000001</v>
      </c>
      <c r="N367" s="9">
        <v>41.234450000000002</v>
      </c>
      <c r="O367" s="14">
        <v>40.997909999999997</v>
      </c>
      <c r="P367" s="9">
        <v>38.899549999999998</v>
      </c>
      <c r="Q367" s="9">
        <v>41.75412</v>
      </c>
      <c r="R367" s="23">
        <v>36.062950000000001</v>
      </c>
      <c r="S367" s="8">
        <v>0.27668999999999999</v>
      </c>
      <c r="T367" s="9">
        <v>0.35021000000000002</v>
      </c>
      <c r="U367" s="24">
        <v>0.51966999999999997</v>
      </c>
    </row>
    <row r="368" spans="1:21" ht="12" customHeight="1" x14ac:dyDescent="0.25">
      <c r="A368" s="5">
        <v>778</v>
      </c>
      <c r="B368" s="19" t="s">
        <v>189</v>
      </c>
      <c r="C368" s="19" t="s">
        <v>12</v>
      </c>
      <c r="D368" s="5" t="s">
        <v>190</v>
      </c>
      <c r="E368" s="6">
        <v>367072.07411718997</v>
      </c>
      <c r="F368" s="6">
        <v>6548574.4030219996</v>
      </c>
      <c r="G368" s="7" t="str">
        <f>HYPERLINK("https://minkarta.lantmateriet.se/?e=367072,07411719&amp;n=6548574,403022&amp;z=12&amp;profile=flygbildmedgranser&amp;background=2&amp;boundaries=true","Visa")</f>
        <v>Visa</v>
      </c>
      <c r="H368" s="5" t="s">
        <v>16</v>
      </c>
      <c r="I368" s="8">
        <v>41.889650000000003</v>
      </c>
      <c r="J368" s="9">
        <v>48.353740000000002</v>
      </c>
      <c r="K368" s="9">
        <v>49.807699999999997</v>
      </c>
      <c r="L368" s="14">
        <v>42.806730000000002</v>
      </c>
      <c r="M368" s="9">
        <v>48.85324</v>
      </c>
      <c r="N368" s="9">
        <v>52.323889999999999</v>
      </c>
      <c r="O368" s="14">
        <v>43.147620000000003</v>
      </c>
      <c r="P368" s="9">
        <v>49.838050000000003</v>
      </c>
      <c r="Q368" s="9">
        <v>52.692630000000001</v>
      </c>
      <c r="R368" s="23">
        <v>35.444789999999998</v>
      </c>
      <c r="S368" s="8">
        <v>0.34089000000000003</v>
      </c>
      <c r="T368" s="9">
        <v>0.98480999999999996</v>
      </c>
      <c r="U368" s="24">
        <v>0.36874000000000001</v>
      </c>
    </row>
    <row r="369" spans="1:21" ht="12" customHeight="1" x14ac:dyDescent="0.25">
      <c r="A369" s="5">
        <v>779</v>
      </c>
      <c r="B369" s="19" t="s">
        <v>189</v>
      </c>
      <c r="C369" s="19" t="s">
        <v>12</v>
      </c>
      <c r="D369" s="5" t="s">
        <v>190</v>
      </c>
      <c r="E369" s="6">
        <v>367074.48647831002</v>
      </c>
      <c r="F369" s="6">
        <v>6548570.2136185998</v>
      </c>
      <c r="G369" s="7" t="str">
        <f>HYPERLINK("https://minkarta.lantmateriet.se/?e=367074,48647831&amp;n=6548570,2136186&amp;z=12&amp;profile=flygbildmedgranser&amp;background=2&amp;boundaries=true","Visa")</f>
        <v>Visa</v>
      </c>
      <c r="H369" s="5" t="s">
        <v>15</v>
      </c>
      <c r="I369" s="8">
        <v>42.919179999999997</v>
      </c>
      <c r="J369" s="9">
        <v>48.543570000000003</v>
      </c>
      <c r="K369" s="9">
        <v>49.997529999999998</v>
      </c>
      <c r="L369" s="14">
        <v>43.842979999999997</v>
      </c>
      <c r="M369" s="9">
        <v>49.043059999999997</v>
      </c>
      <c r="N369" s="9">
        <v>52.513719999999999</v>
      </c>
      <c r="O369" s="14">
        <v>44.142440000000001</v>
      </c>
      <c r="P369" s="9">
        <v>50.027880000000003</v>
      </c>
      <c r="Q369" s="9">
        <v>52.882460000000002</v>
      </c>
      <c r="R369" s="23">
        <v>35.776589999999999</v>
      </c>
      <c r="S369" s="8">
        <v>0.29946</v>
      </c>
      <c r="T369" s="9">
        <v>0.98482000000000003</v>
      </c>
      <c r="U369" s="24">
        <v>0.36874000000000001</v>
      </c>
    </row>
    <row r="370" spans="1:21" ht="12" customHeight="1" x14ac:dyDescent="0.25">
      <c r="A370" s="5">
        <v>780</v>
      </c>
      <c r="B370" s="19" t="s">
        <v>191</v>
      </c>
      <c r="C370" s="19" t="s">
        <v>12</v>
      </c>
      <c r="D370" s="5" t="s">
        <v>192</v>
      </c>
      <c r="E370" s="6">
        <v>367066.84488619998</v>
      </c>
      <c r="F370" s="6">
        <v>6548590.0404911004</v>
      </c>
      <c r="G370" s="7" t="str">
        <f>HYPERLINK("https://minkarta.lantmateriet.se/?e=367066,8448862&amp;n=6548590,0404911&amp;z=12&amp;profile=flygbildmedgranser&amp;background=2&amp;boundaries=true","Visa")</f>
        <v>Visa</v>
      </c>
      <c r="H370" s="5" t="s">
        <v>13</v>
      </c>
      <c r="I370" s="8">
        <v>39.945189999999997</v>
      </c>
      <c r="J370" s="9">
        <v>39.560859999999998</v>
      </c>
      <c r="K370" s="9">
        <v>41.129600000000003</v>
      </c>
      <c r="L370" s="14">
        <v>40.86309</v>
      </c>
      <c r="M370" s="9">
        <v>40.017380000000003</v>
      </c>
      <c r="N370" s="9">
        <v>42.123869999999997</v>
      </c>
      <c r="O370" s="14">
        <v>41.111780000000003</v>
      </c>
      <c r="P370" s="9">
        <v>40.048470000000002</v>
      </c>
      <c r="Q370" s="9">
        <v>42.492600000000003</v>
      </c>
      <c r="R370" s="23">
        <v>35.179349999999999</v>
      </c>
      <c r="S370" s="8">
        <v>0.24868999999999999</v>
      </c>
      <c r="T370" s="9">
        <v>3.109E-2</v>
      </c>
      <c r="U370" s="24">
        <v>0.36873</v>
      </c>
    </row>
    <row r="371" spans="1:21" ht="12" customHeight="1" x14ac:dyDescent="0.25">
      <c r="A371" s="5">
        <v>781</v>
      </c>
      <c r="B371" s="19" t="s">
        <v>191</v>
      </c>
      <c r="C371" s="19" t="s">
        <v>12</v>
      </c>
      <c r="D371" s="5" t="s">
        <v>192</v>
      </c>
      <c r="E371" s="6">
        <v>367063.85551318998</v>
      </c>
      <c r="F371" s="6">
        <v>6548598.4288870003</v>
      </c>
      <c r="G371" s="7" t="str">
        <f>HYPERLINK("https://minkarta.lantmateriet.se/?e=367063,85551319&amp;n=6548598,428887&amp;z=12&amp;profile=flygbildmedgranser&amp;background=2&amp;boundaries=true","Visa")</f>
        <v>Visa</v>
      </c>
      <c r="H371" s="5" t="s">
        <v>14</v>
      </c>
      <c r="I371" s="8">
        <v>40.353279999999998</v>
      </c>
      <c r="J371" s="9">
        <v>44.158230000000003</v>
      </c>
      <c r="K371" s="9">
        <v>45.726979999999998</v>
      </c>
      <c r="L371" s="14">
        <v>41.268819999999998</v>
      </c>
      <c r="M371" s="9">
        <v>44.614759999999997</v>
      </c>
      <c r="N371" s="9">
        <v>46.232480000000002</v>
      </c>
      <c r="O371" s="14">
        <v>41.427039999999998</v>
      </c>
      <c r="P371" s="9">
        <v>44.64584</v>
      </c>
      <c r="Q371" s="9">
        <v>46.262079999999997</v>
      </c>
      <c r="R371" s="23">
        <v>31.241489999999999</v>
      </c>
      <c r="S371" s="8">
        <v>0.15822</v>
      </c>
      <c r="T371" s="9">
        <v>3.108E-2</v>
      </c>
      <c r="U371" s="24">
        <v>2.9600000000000001E-2</v>
      </c>
    </row>
    <row r="372" spans="1:21" ht="12" customHeight="1" x14ac:dyDescent="0.25">
      <c r="A372" s="5">
        <v>782</v>
      </c>
      <c r="B372" s="19" t="s">
        <v>191</v>
      </c>
      <c r="C372" s="19" t="s">
        <v>12</v>
      </c>
      <c r="D372" s="5" t="s">
        <v>192</v>
      </c>
      <c r="E372" s="6">
        <v>367058.49711578002</v>
      </c>
      <c r="F372" s="6">
        <v>6548591.3170127999</v>
      </c>
      <c r="G372" s="7" t="str">
        <f>HYPERLINK("https://minkarta.lantmateriet.se/?e=367058,49711578&amp;n=6548591,3170128&amp;z=12&amp;profile=flygbildmedgranser&amp;background=2&amp;boundaries=true","Visa")</f>
        <v>Visa</v>
      </c>
      <c r="H372" s="5" t="s">
        <v>16</v>
      </c>
      <c r="I372" s="8">
        <v>41.576810000000002</v>
      </c>
      <c r="J372" s="9">
        <v>44.362250000000003</v>
      </c>
      <c r="K372" s="9">
        <v>45.930999999999997</v>
      </c>
      <c r="L372" s="14">
        <v>42.492980000000003</v>
      </c>
      <c r="M372" s="9">
        <v>44.818779999999997</v>
      </c>
      <c r="N372" s="9">
        <v>46.436500000000002</v>
      </c>
      <c r="O372" s="14">
        <v>43.002330000000001</v>
      </c>
      <c r="P372" s="9">
        <v>44.84986</v>
      </c>
      <c r="Q372" s="9">
        <v>46.466099999999997</v>
      </c>
      <c r="R372" s="23">
        <v>42.342239999999997</v>
      </c>
      <c r="S372" s="8">
        <v>0.50934999999999997</v>
      </c>
      <c r="T372" s="9">
        <v>3.108E-2</v>
      </c>
      <c r="U372" s="24">
        <v>2.9600000000000001E-2</v>
      </c>
    </row>
    <row r="373" spans="1:21" ht="12" customHeight="1" x14ac:dyDescent="0.25">
      <c r="A373" s="5">
        <v>784</v>
      </c>
      <c r="B373" s="19" t="s">
        <v>193</v>
      </c>
      <c r="C373" s="19" t="s">
        <v>12</v>
      </c>
      <c r="D373" s="5" t="s">
        <v>194</v>
      </c>
      <c r="E373" s="6">
        <v>367029.51477271999</v>
      </c>
      <c r="F373" s="6">
        <v>6548586.8401525002</v>
      </c>
      <c r="G373" s="7" t="str">
        <f>HYPERLINK("https://minkarta.lantmateriet.se/?e=367029,51477272&amp;n=6548586,8401525&amp;z=12&amp;profile=flygbildmedgranser&amp;background=2&amp;boundaries=true","Visa")</f>
        <v>Visa</v>
      </c>
      <c r="H373" s="5" t="s">
        <v>15</v>
      </c>
      <c r="I373" s="8">
        <v>38.858379999999997</v>
      </c>
      <c r="J373" s="9">
        <v>44.805120000000002</v>
      </c>
      <c r="K373" s="9">
        <v>47.072620000000001</v>
      </c>
      <c r="L373" s="14">
        <v>39.783470000000001</v>
      </c>
      <c r="M373" s="9">
        <v>45.465000000000003</v>
      </c>
      <c r="N373" s="9">
        <v>47.803289999999997</v>
      </c>
      <c r="O373" s="14">
        <v>40.370710000000003</v>
      </c>
      <c r="P373" s="9">
        <v>45.509920000000001</v>
      </c>
      <c r="Q373" s="9">
        <v>47.96678</v>
      </c>
      <c r="R373" s="23">
        <v>41.884039999999999</v>
      </c>
      <c r="S373" s="8">
        <v>0.58723999999999998</v>
      </c>
      <c r="T373" s="9">
        <v>4.4920000000000002E-2</v>
      </c>
      <c r="U373" s="24">
        <v>0.16349</v>
      </c>
    </row>
    <row r="374" spans="1:21" ht="12" customHeight="1" x14ac:dyDescent="0.25">
      <c r="A374" s="5">
        <v>785</v>
      </c>
      <c r="B374" s="19" t="s">
        <v>193</v>
      </c>
      <c r="C374" s="19" t="s">
        <v>12</v>
      </c>
      <c r="D374" s="5" t="s">
        <v>194</v>
      </c>
      <c r="E374" s="6">
        <v>367034.46735028003</v>
      </c>
      <c r="F374" s="6">
        <v>6548590.6977724005</v>
      </c>
      <c r="G374" s="7" t="str">
        <f>HYPERLINK("https://minkarta.lantmateriet.se/?e=367034,46735028&amp;n=6548590,6977724&amp;z=12&amp;profile=flygbildmedgranser&amp;background=2&amp;boundaries=true","Visa")</f>
        <v>Visa</v>
      </c>
      <c r="H374" s="5" t="s">
        <v>13</v>
      </c>
      <c r="I374" s="8">
        <v>33.788170000000001</v>
      </c>
      <c r="J374" s="9">
        <v>38.838630000000002</v>
      </c>
      <c r="K374" s="9">
        <v>40.292589999999997</v>
      </c>
      <c r="L374" s="14">
        <v>34.716259999999998</v>
      </c>
      <c r="M374" s="9">
        <v>39.33813</v>
      </c>
      <c r="N374" s="9">
        <v>42.808790000000002</v>
      </c>
      <c r="O374" s="14">
        <v>35.237769999999998</v>
      </c>
      <c r="P374" s="9">
        <v>40.322940000000003</v>
      </c>
      <c r="Q374" s="9">
        <v>43.177520000000001</v>
      </c>
      <c r="R374" s="23">
        <v>38.956159999999997</v>
      </c>
      <c r="S374" s="8">
        <v>0.52151000000000003</v>
      </c>
      <c r="T374" s="9">
        <v>0.98480999999999996</v>
      </c>
      <c r="U374" s="24">
        <v>0.36873</v>
      </c>
    </row>
    <row r="375" spans="1:21" ht="12" customHeight="1" x14ac:dyDescent="0.25">
      <c r="A375" s="5">
        <v>786</v>
      </c>
      <c r="B375" s="19" t="s">
        <v>193</v>
      </c>
      <c r="C375" s="19" t="s">
        <v>12</v>
      </c>
      <c r="D375" s="5" t="s">
        <v>194</v>
      </c>
      <c r="E375" s="6">
        <v>367031.12523042999</v>
      </c>
      <c r="F375" s="6">
        <v>6548596.0113513004</v>
      </c>
      <c r="G375" s="7" t="str">
        <f>HYPERLINK("https://minkarta.lantmateriet.se/?e=367031,12523043&amp;n=6548596,0113513&amp;z=12&amp;profile=flygbildmedgranser&amp;background=2&amp;boundaries=true","Visa")</f>
        <v>Visa</v>
      </c>
      <c r="H375" s="5" t="s">
        <v>14</v>
      </c>
      <c r="I375" s="8">
        <v>38.041820000000001</v>
      </c>
      <c r="J375" s="9">
        <v>42.811439999999997</v>
      </c>
      <c r="K375" s="9">
        <v>44.380189999999999</v>
      </c>
      <c r="L375" s="14">
        <v>38.955370000000002</v>
      </c>
      <c r="M375" s="9">
        <v>43.267969999999998</v>
      </c>
      <c r="N375" s="9">
        <v>44.885689999999997</v>
      </c>
      <c r="O375" s="14">
        <v>39.129649999999998</v>
      </c>
      <c r="P375" s="9">
        <v>43.299050000000001</v>
      </c>
      <c r="Q375" s="9">
        <v>44.915289999999999</v>
      </c>
      <c r="R375" s="23">
        <v>29.753589999999999</v>
      </c>
      <c r="S375" s="8">
        <v>0.17427999999999999</v>
      </c>
      <c r="T375" s="9">
        <v>3.108E-2</v>
      </c>
      <c r="U375" s="24">
        <v>2.9600000000000001E-2</v>
      </c>
    </row>
    <row r="376" spans="1:21" ht="12" customHeight="1" x14ac:dyDescent="0.25">
      <c r="A376" s="5">
        <v>787</v>
      </c>
      <c r="B376" s="19" t="s">
        <v>193</v>
      </c>
      <c r="C376" s="19" t="s">
        <v>12</v>
      </c>
      <c r="D376" s="5" t="s">
        <v>194</v>
      </c>
      <c r="E376" s="6">
        <v>367026.17265168001</v>
      </c>
      <c r="F376" s="6">
        <v>6548592.1537314001</v>
      </c>
      <c r="G376" s="7" t="str">
        <f>HYPERLINK("https://minkarta.lantmateriet.se/?e=367026,17265168&amp;n=6548592,1537314&amp;z=12&amp;profile=flygbildmedgranser&amp;background=2&amp;boundaries=true","Visa")</f>
        <v>Visa</v>
      </c>
      <c r="H376" s="5" t="s">
        <v>16</v>
      </c>
      <c r="I376" s="8">
        <v>43.828960000000002</v>
      </c>
      <c r="J376" s="9">
        <v>49.751449999999998</v>
      </c>
      <c r="K376" s="9">
        <v>51.205419999999997</v>
      </c>
      <c r="L376" s="14">
        <v>44.738750000000003</v>
      </c>
      <c r="M376" s="9">
        <v>50.250950000000003</v>
      </c>
      <c r="N376" s="9">
        <v>53.721609999999998</v>
      </c>
      <c r="O376" s="14">
        <v>45.03163</v>
      </c>
      <c r="P376" s="9">
        <v>50.805039999999998</v>
      </c>
      <c r="Q376" s="9">
        <v>53.659619999999997</v>
      </c>
      <c r="R376" s="23">
        <v>39.256019999999999</v>
      </c>
      <c r="S376" s="8">
        <v>0.29287999999999997</v>
      </c>
      <c r="T376" s="9">
        <v>0.55408999999999997</v>
      </c>
      <c r="U376" s="24">
        <v>-6.1990000000000003E-2</v>
      </c>
    </row>
    <row r="377" spans="1:21" ht="12" customHeight="1" x14ac:dyDescent="0.25">
      <c r="A377" s="5">
        <v>788</v>
      </c>
      <c r="B377" s="19" t="s">
        <v>195</v>
      </c>
      <c r="C377" s="19" t="s">
        <v>12</v>
      </c>
      <c r="D377" s="5" t="s">
        <v>196</v>
      </c>
      <c r="E377" s="6">
        <v>367227.14577844</v>
      </c>
      <c r="F377" s="6">
        <v>6548547.6566628003</v>
      </c>
      <c r="G377" s="7" t="str">
        <f>HYPERLINK("https://minkarta.lantmateriet.se/?e=367227,14577844&amp;n=6548547,6566628&amp;z=12&amp;profile=flygbildmedgranser&amp;background=2&amp;boundaries=true","Visa")</f>
        <v>Visa</v>
      </c>
      <c r="H377" s="5" t="s">
        <v>16</v>
      </c>
      <c r="I377" s="8">
        <v>39.088749999999997</v>
      </c>
      <c r="J377" s="9">
        <v>42.42389</v>
      </c>
      <c r="K377" s="9">
        <v>43.952469999999998</v>
      </c>
      <c r="L377" s="14">
        <v>40.026229999999998</v>
      </c>
      <c r="M377" s="9">
        <v>42.852989999999998</v>
      </c>
      <c r="N377" s="9">
        <v>46.031120000000001</v>
      </c>
      <c r="O377" s="14">
        <v>40.252499999999998</v>
      </c>
      <c r="P377" s="9">
        <v>43.545279999999998</v>
      </c>
      <c r="Q377" s="9">
        <v>46.399859999999997</v>
      </c>
      <c r="R377" s="23">
        <v>31.302569999999999</v>
      </c>
      <c r="S377" s="8">
        <v>0.22627</v>
      </c>
      <c r="T377" s="9">
        <v>0.69228999999999996</v>
      </c>
      <c r="U377" s="24">
        <v>0.36874000000000001</v>
      </c>
    </row>
    <row r="378" spans="1:21" ht="12" customHeight="1" x14ac:dyDescent="0.25">
      <c r="A378" s="5">
        <v>789</v>
      </c>
      <c r="B378" s="19" t="s">
        <v>195</v>
      </c>
      <c r="C378" s="19" t="s">
        <v>12</v>
      </c>
      <c r="D378" s="5" t="s">
        <v>196</v>
      </c>
      <c r="E378" s="6">
        <v>367234.2668404</v>
      </c>
      <c r="F378" s="6">
        <v>6548544.6352794999</v>
      </c>
      <c r="G378" s="7" t="str">
        <f>HYPERLINK("https://minkarta.lantmateriet.se/?e=367234,2668404&amp;n=6548544,6352795&amp;z=12&amp;profile=flygbildmedgranser&amp;background=2&amp;boundaries=true","Visa")</f>
        <v>Visa</v>
      </c>
      <c r="H378" s="5" t="s">
        <v>15</v>
      </c>
      <c r="I378" s="8">
        <v>38.443600000000004</v>
      </c>
      <c r="J378" s="9">
        <v>41.438830000000003</v>
      </c>
      <c r="K378" s="9">
        <v>42.892800000000001</v>
      </c>
      <c r="L378" s="14">
        <v>39.38456</v>
      </c>
      <c r="M378" s="9">
        <v>41.938330000000001</v>
      </c>
      <c r="N378" s="9">
        <v>45.408990000000003</v>
      </c>
      <c r="O378" s="14">
        <v>39.608490000000003</v>
      </c>
      <c r="P378" s="9">
        <v>42.92315</v>
      </c>
      <c r="Q378" s="9">
        <v>45.777720000000002</v>
      </c>
      <c r="R378" s="23">
        <v>30.462730000000001</v>
      </c>
      <c r="S378" s="8">
        <v>0.22392999999999999</v>
      </c>
      <c r="T378" s="9">
        <v>0.98482000000000003</v>
      </c>
      <c r="U378" s="24">
        <v>0.36873</v>
      </c>
    </row>
    <row r="379" spans="1:21" ht="12" customHeight="1" x14ac:dyDescent="0.25">
      <c r="A379" s="5">
        <v>791</v>
      </c>
      <c r="B379" s="19" t="s">
        <v>195</v>
      </c>
      <c r="C379" s="19" t="s">
        <v>12</v>
      </c>
      <c r="D379" s="5" t="s">
        <v>196</v>
      </c>
      <c r="E379" s="6">
        <v>367232.11316160002</v>
      </c>
      <c r="F379" s="6">
        <v>6548553.5867245002</v>
      </c>
      <c r="G379" s="7" t="str">
        <f>HYPERLINK("https://minkarta.lantmateriet.se/?e=367232,1131616&amp;n=6548553,5867245&amp;z=12&amp;profile=flygbildmedgranser&amp;background=2&amp;boundaries=true","Visa")</f>
        <v>Visa</v>
      </c>
      <c r="H379" s="5" t="s">
        <v>14</v>
      </c>
      <c r="I379" s="8">
        <v>35.532859999999999</v>
      </c>
      <c r="J379" s="9">
        <v>38.307850000000002</v>
      </c>
      <c r="K379" s="9">
        <v>39.83643</v>
      </c>
      <c r="L379" s="14">
        <v>36.470999999999997</v>
      </c>
      <c r="M379" s="9">
        <v>38.736960000000003</v>
      </c>
      <c r="N379" s="9">
        <v>41.189920000000001</v>
      </c>
      <c r="O379" s="14">
        <v>36.706940000000003</v>
      </c>
      <c r="P379" s="9">
        <v>38.765410000000003</v>
      </c>
      <c r="Q379" s="9">
        <v>41.55865</v>
      </c>
      <c r="R379" s="23">
        <v>29.96012</v>
      </c>
      <c r="S379" s="8">
        <v>0.23594000000000001</v>
      </c>
      <c r="T379" s="9">
        <v>2.845E-2</v>
      </c>
      <c r="U379" s="24">
        <v>0.36873</v>
      </c>
    </row>
    <row r="380" spans="1:21" ht="12" customHeight="1" x14ac:dyDescent="0.25">
      <c r="A380" s="5">
        <v>792</v>
      </c>
      <c r="B380" s="19" t="s">
        <v>197</v>
      </c>
      <c r="C380" s="19" t="s">
        <v>12</v>
      </c>
      <c r="D380" s="5" t="s">
        <v>198</v>
      </c>
      <c r="E380" s="6">
        <v>367210.70524803997</v>
      </c>
      <c r="F380" s="6">
        <v>6548543.4826568002</v>
      </c>
      <c r="G380" s="7" t="str">
        <f>HYPERLINK("https://minkarta.lantmateriet.se/?e=367210,70524804&amp;n=6548543,4826568&amp;z=12&amp;profile=flygbildmedgranser&amp;background=2&amp;boundaries=true","Visa")</f>
        <v>Visa</v>
      </c>
      <c r="H380" s="5" t="s">
        <v>15</v>
      </c>
      <c r="I380" s="8">
        <v>39.221679999999999</v>
      </c>
      <c r="J380" s="9">
        <v>41.941850000000002</v>
      </c>
      <c r="K380" s="9">
        <v>43.47043</v>
      </c>
      <c r="L380" s="14">
        <v>40.156590000000001</v>
      </c>
      <c r="M380" s="9">
        <v>42.370959999999997</v>
      </c>
      <c r="N380" s="9">
        <v>43.988930000000003</v>
      </c>
      <c r="O380" s="14">
        <v>40.483539999999998</v>
      </c>
      <c r="P380" s="9">
        <v>42.399410000000003</v>
      </c>
      <c r="Q380" s="9">
        <v>44.018250000000002</v>
      </c>
      <c r="R380" s="23">
        <v>38.69144</v>
      </c>
      <c r="S380" s="8">
        <v>0.32695000000000002</v>
      </c>
      <c r="T380" s="9">
        <v>2.845E-2</v>
      </c>
      <c r="U380" s="24">
        <v>2.9319999999999999E-2</v>
      </c>
    </row>
    <row r="381" spans="1:21" ht="12" customHeight="1" x14ac:dyDescent="0.25">
      <c r="A381" s="5">
        <v>793</v>
      </c>
      <c r="B381" s="19" t="s">
        <v>197</v>
      </c>
      <c r="C381" s="19" t="s">
        <v>12</v>
      </c>
      <c r="D381" s="5" t="s">
        <v>198</v>
      </c>
      <c r="E381" s="6">
        <v>367216.59934596001</v>
      </c>
      <c r="F381" s="6">
        <v>6548547.7737480002</v>
      </c>
      <c r="G381" s="7" t="str">
        <f>HYPERLINK("https://minkarta.lantmateriet.se/?e=367216,59934596&amp;n=6548547,773748&amp;z=12&amp;profile=flygbildmedgranser&amp;background=2&amp;boundaries=true","Visa")</f>
        <v>Visa</v>
      </c>
      <c r="H381" s="5" t="s">
        <v>13</v>
      </c>
      <c r="I381" s="8">
        <v>35.607010000000002</v>
      </c>
      <c r="J381" s="9">
        <v>40.86139</v>
      </c>
      <c r="K381" s="9">
        <v>42.389969999999998</v>
      </c>
      <c r="L381" s="14">
        <v>36.534199999999998</v>
      </c>
      <c r="M381" s="9">
        <v>41.290500000000002</v>
      </c>
      <c r="N381" s="9">
        <v>42.908470000000001</v>
      </c>
      <c r="O381" s="14">
        <v>36.898029999999999</v>
      </c>
      <c r="P381" s="9">
        <v>41.318950000000001</v>
      </c>
      <c r="Q381" s="9">
        <v>43.953040000000001</v>
      </c>
      <c r="R381" s="23">
        <v>30.050180000000001</v>
      </c>
      <c r="S381" s="8">
        <v>0.36382999999999999</v>
      </c>
      <c r="T381" s="9">
        <v>2.845E-2</v>
      </c>
      <c r="U381" s="24">
        <v>1.04457</v>
      </c>
    </row>
    <row r="382" spans="1:21" ht="12" customHeight="1" x14ac:dyDescent="0.25">
      <c r="A382" s="5">
        <v>794</v>
      </c>
      <c r="B382" s="19" t="s">
        <v>197</v>
      </c>
      <c r="C382" s="19" t="s">
        <v>12</v>
      </c>
      <c r="D382" s="5" t="s">
        <v>198</v>
      </c>
      <c r="E382" s="6">
        <v>367210.01275431999</v>
      </c>
      <c r="F382" s="6">
        <v>6548554.2873470997</v>
      </c>
      <c r="G382" s="7" t="str">
        <f>HYPERLINK("https://minkarta.lantmateriet.se/?e=367210,01275432&amp;n=6548554,2873471&amp;z=12&amp;profile=flygbildmedgranser&amp;background=2&amp;boundaries=true","Visa")</f>
        <v>Visa</v>
      </c>
      <c r="H382" s="5" t="s">
        <v>14</v>
      </c>
      <c r="I382" s="8">
        <v>33.247970000000002</v>
      </c>
      <c r="J382" s="9">
        <v>37.468539999999997</v>
      </c>
      <c r="K382" s="9">
        <v>38.922510000000003</v>
      </c>
      <c r="L382" s="14">
        <v>34.169730000000001</v>
      </c>
      <c r="M382" s="9">
        <v>37.968040000000002</v>
      </c>
      <c r="N382" s="9">
        <v>41.438699999999997</v>
      </c>
      <c r="O382" s="14">
        <v>34.501370000000001</v>
      </c>
      <c r="P382" s="9">
        <v>38.952860000000001</v>
      </c>
      <c r="Q382" s="9">
        <v>41.807429999999997</v>
      </c>
      <c r="R382" s="23">
        <v>32.501489999999997</v>
      </c>
      <c r="S382" s="8">
        <v>0.33163999999999999</v>
      </c>
      <c r="T382" s="9">
        <v>0.98482000000000003</v>
      </c>
      <c r="U382" s="24">
        <v>0.36873</v>
      </c>
    </row>
    <row r="383" spans="1:21" ht="12" customHeight="1" x14ac:dyDescent="0.25">
      <c r="A383" s="5">
        <v>796</v>
      </c>
      <c r="B383" s="19" t="s">
        <v>197</v>
      </c>
      <c r="C383" s="19" t="s">
        <v>12</v>
      </c>
      <c r="D383" s="5" t="s">
        <v>198</v>
      </c>
      <c r="E383" s="6">
        <v>367203.46224887</v>
      </c>
      <c r="F383" s="6">
        <v>6548546.2506566998</v>
      </c>
      <c r="G383" s="7" t="str">
        <f>HYPERLINK("https://minkarta.lantmateriet.se/?e=367203,46224887&amp;n=6548546,2506567&amp;z=12&amp;profile=flygbildmedgranser&amp;background=2&amp;boundaries=true","Visa")</f>
        <v>Visa</v>
      </c>
      <c r="H383" s="5" t="s">
        <v>15</v>
      </c>
      <c r="I383" s="8">
        <v>39.40898</v>
      </c>
      <c r="J383" s="9">
        <v>41.936100000000003</v>
      </c>
      <c r="K383" s="9">
        <v>43.464680000000001</v>
      </c>
      <c r="L383" s="14">
        <v>40.340150000000001</v>
      </c>
      <c r="M383" s="9">
        <v>42.365209999999998</v>
      </c>
      <c r="N383" s="9">
        <v>45.811259999999997</v>
      </c>
      <c r="O383" s="14">
        <v>40.715820000000001</v>
      </c>
      <c r="P383" s="9">
        <v>43.325420000000001</v>
      </c>
      <c r="Q383" s="9">
        <v>46.18</v>
      </c>
      <c r="R383" s="23">
        <v>37.445990000000002</v>
      </c>
      <c r="S383" s="8">
        <v>0.37567</v>
      </c>
      <c r="T383" s="9">
        <v>0.96021000000000001</v>
      </c>
      <c r="U383" s="24">
        <v>0.36874000000000001</v>
      </c>
    </row>
    <row r="384" spans="1:21" ht="12" customHeight="1" x14ac:dyDescent="0.25">
      <c r="A384" s="5">
        <v>798</v>
      </c>
      <c r="B384" s="19" t="s">
        <v>199</v>
      </c>
      <c r="C384" s="19" t="s">
        <v>12</v>
      </c>
      <c r="D384" s="5" t="s">
        <v>200</v>
      </c>
      <c r="E384" s="6">
        <v>367186.84575977997</v>
      </c>
      <c r="F384" s="6">
        <v>6548558.4773460999</v>
      </c>
      <c r="G384" s="7" t="str">
        <f>HYPERLINK("https://minkarta.lantmateriet.se/?e=367186,84575978&amp;n=6548558,4773461&amp;z=12&amp;profile=flygbildmedgranser&amp;background=2&amp;boundaries=true","Visa")</f>
        <v>Visa</v>
      </c>
      <c r="H384" s="5" t="s">
        <v>14</v>
      </c>
      <c r="I384" s="8">
        <v>37.846780000000003</v>
      </c>
      <c r="J384" s="9">
        <v>40.175319999999999</v>
      </c>
      <c r="K384" s="9">
        <v>41.703899999999997</v>
      </c>
      <c r="L384" s="14">
        <v>38.774439999999998</v>
      </c>
      <c r="M384" s="9">
        <v>40.604430000000001</v>
      </c>
      <c r="N384" s="9">
        <v>42.222389999999997</v>
      </c>
      <c r="O384" s="14">
        <v>39.001370000000001</v>
      </c>
      <c r="P384" s="9">
        <v>40.63288</v>
      </c>
      <c r="Q384" s="9">
        <v>42.251710000000003</v>
      </c>
      <c r="R384" s="23">
        <v>36.391150000000003</v>
      </c>
      <c r="S384" s="8">
        <v>0.22692999999999999</v>
      </c>
      <c r="T384" s="9">
        <v>2.845E-2</v>
      </c>
      <c r="U384" s="24">
        <v>2.9319999999999999E-2</v>
      </c>
    </row>
    <row r="385" spans="1:21" ht="12" customHeight="1" x14ac:dyDescent="0.25">
      <c r="A385" s="5">
        <v>799</v>
      </c>
      <c r="B385" s="19" t="s">
        <v>199</v>
      </c>
      <c r="C385" s="19" t="s">
        <v>12</v>
      </c>
      <c r="D385" s="5" t="s">
        <v>200</v>
      </c>
      <c r="E385" s="6">
        <v>367178.64415688999</v>
      </c>
      <c r="F385" s="6">
        <v>6548555.3177608</v>
      </c>
      <c r="G385" s="7" t="str">
        <f>HYPERLINK("https://minkarta.lantmateriet.se/?e=367178,64415689&amp;n=6548555,3177608&amp;z=12&amp;profile=flygbildmedgranser&amp;background=2&amp;boundaries=true","Visa")</f>
        <v>Visa</v>
      </c>
      <c r="H385" s="5" t="s">
        <v>16</v>
      </c>
      <c r="I385" s="8">
        <v>39.386330000000001</v>
      </c>
      <c r="J385" s="9">
        <v>45.410150000000002</v>
      </c>
      <c r="K385" s="9">
        <v>46.86412</v>
      </c>
      <c r="L385" s="14">
        <v>40.319360000000003</v>
      </c>
      <c r="M385" s="9">
        <v>45.909649999999999</v>
      </c>
      <c r="N385" s="9">
        <v>49.380310000000001</v>
      </c>
      <c r="O385" s="14">
        <v>40.561230000000002</v>
      </c>
      <c r="P385" s="9">
        <v>46.894469999999998</v>
      </c>
      <c r="Q385" s="9">
        <v>49.749040000000001</v>
      </c>
      <c r="R385" s="23">
        <v>36.739719999999998</v>
      </c>
      <c r="S385" s="8">
        <v>0.24187</v>
      </c>
      <c r="T385" s="9">
        <v>0.98482000000000003</v>
      </c>
      <c r="U385" s="24">
        <v>0.36873</v>
      </c>
    </row>
    <row r="386" spans="1:21" ht="12" customHeight="1" x14ac:dyDescent="0.25">
      <c r="A386" s="5">
        <v>800</v>
      </c>
      <c r="B386" s="19" t="s">
        <v>199</v>
      </c>
      <c r="C386" s="19" t="s">
        <v>12</v>
      </c>
      <c r="D386" s="5" t="s">
        <v>200</v>
      </c>
      <c r="E386" s="6">
        <v>367185.24474297999</v>
      </c>
      <c r="F386" s="6">
        <v>6548549.5141577004</v>
      </c>
      <c r="G386" s="7" t="str">
        <f>HYPERLINK("https://minkarta.lantmateriet.se/?e=367185,24474298&amp;n=6548549,5141577&amp;z=12&amp;profile=flygbildmedgranser&amp;background=2&amp;boundaries=true","Visa")</f>
        <v>Visa</v>
      </c>
      <c r="H386" s="5" t="s">
        <v>15</v>
      </c>
      <c r="I386" s="8">
        <v>40.410159999999998</v>
      </c>
      <c r="J386" s="9">
        <v>46.904420000000002</v>
      </c>
      <c r="K386" s="9">
        <v>48.358379999999997</v>
      </c>
      <c r="L386" s="14">
        <v>41.345309999999998</v>
      </c>
      <c r="M386" s="9">
        <v>47.403919999999999</v>
      </c>
      <c r="N386" s="9">
        <v>50.874580000000002</v>
      </c>
      <c r="O386" s="14">
        <v>41.689450000000001</v>
      </c>
      <c r="P386" s="9">
        <v>48.388730000000002</v>
      </c>
      <c r="Q386" s="9">
        <v>51.243310000000001</v>
      </c>
      <c r="R386" s="23">
        <v>39.337260000000001</v>
      </c>
      <c r="S386" s="8">
        <v>0.34414</v>
      </c>
      <c r="T386" s="9">
        <v>0.98480999999999996</v>
      </c>
      <c r="U386" s="24">
        <v>0.36873</v>
      </c>
    </row>
    <row r="387" spans="1:21" ht="12" customHeight="1" x14ac:dyDescent="0.25">
      <c r="A387" s="5">
        <v>801</v>
      </c>
      <c r="B387" s="19" t="s">
        <v>201</v>
      </c>
      <c r="C387" s="19" t="s">
        <v>12</v>
      </c>
      <c r="D387" s="5" t="s">
        <v>202</v>
      </c>
      <c r="E387" s="6">
        <v>367167.98084840999</v>
      </c>
      <c r="F387" s="6">
        <v>6548557.0692616999</v>
      </c>
      <c r="G387" s="7" t="str">
        <f>HYPERLINK("https://minkarta.lantmateriet.se/?e=367167,98084841&amp;n=6548557,0692617&amp;z=12&amp;profile=flygbildmedgranser&amp;background=2&amp;boundaries=true","Visa")</f>
        <v>Visa</v>
      </c>
      <c r="H387" s="5" t="s">
        <v>13</v>
      </c>
      <c r="I387" s="8">
        <v>37.705959999999997</v>
      </c>
      <c r="J387" s="9">
        <v>49.437359999999998</v>
      </c>
      <c r="K387" s="9">
        <v>50.89132</v>
      </c>
      <c r="L387" s="14">
        <v>38.619639999999997</v>
      </c>
      <c r="M387" s="9">
        <v>49.93685</v>
      </c>
      <c r="N387" s="9">
        <v>53.407510000000002</v>
      </c>
      <c r="O387" s="14">
        <v>38.909390000000002</v>
      </c>
      <c r="P387" s="9">
        <v>50.921669999999999</v>
      </c>
      <c r="Q387" s="9">
        <v>53.776249999999997</v>
      </c>
      <c r="R387" s="23">
        <v>33.439639999999997</v>
      </c>
      <c r="S387" s="8">
        <v>0.28975000000000001</v>
      </c>
      <c r="T387" s="9">
        <v>0.98482000000000003</v>
      </c>
      <c r="U387" s="24">
        <v>0.36874000000000001</v>
      </c>
    </row>
    <row r="388" spans="1:21" ht="12" customHeight="1" x14ac:dyDescent="0.25">
      <c r="A388" s="5">
        <v>802</v>
      </c>
      <c r="B388" s="19" t="s">
        <v>201</v>
      </c>
      <c r="C388" s="19" t="s">
        <v>12</v>
      </c>
      <c r="D388" s="5" t="s">
        <v>202</v>
      </c>
      <c r="E388" s="6">
        <v>367161.94674029999</v>
      </c>
      <c r="F388" s="6">
        <v>6548562.7433495997</v>
      </c>
      <c r="G388" s="7" t="str">
        <f>HYPERLINK("https://minkarta.lantmateriet.se/?e=367161,9467403&amp;n=6548562,7433496&amp;z=12&amp;profile=flygbildmedgranser&amp;background=2&amp;boundaries=true","Visa")</f>
        <v>Visa</v>
      </c>
      <c r="H388" s="5" t="s">
        <v>14</v>
      </c>
      <c r="I388" s="8">
        <v>36.557070000000003</v>
      </c>
      <c r="J388" s="9">
        <v>39.554769999999998</v>
      </c>
      <c r="K388" s="9">
        <v>41.083350000000003</v>
      </c>
      <c r="L388" s="14">
        <v>37.474130000000002</v>
      </c>
      <c r="M388" s="9">
        <v>39.983879999999999</v>
      </c>
      <c r="N388" s="9">
        <v>41.601840000000003</v>
      </c>
      <c r="O388" s="14">
        <v>37.615110000000001</v>
      </c>
      <c r="P388" s="9">
        <v>40.012329999999999</v>
      </c>
      <c r="Q388" s="9">
        <v>41.631160000000001</v>
      </c>
      <c r="R388" s="23">
        <v>28.54355</v>
      </c>
      <c r="S388" s="8">
        <v>0.14097999999999999</v>
      </c>
      <c r="T388" s="9">
        <v>2.845E-2</v>
      </c>
      <c r="U388" s="24">
        <v>2.9319999999999999E-2</v>
      </c>
    </row>
    <row r="389" spans="1:21" ht="12" customHeight="1" x14ac:dyDescent="0.25">
      <c r="A389" s="5">
        <v>804</v>
      </c>
      <c r="B389" s="19" t="s">
        <v>201</v>
      </c>
      <c r="C389" s="19" t="s">
        <v>12</v>
      </c>
      <c r="D389" s="5" t="s">
        <v>202</v>
      </c>
      <c r="E389" s="6">
        <v>367160.36726239999</v>
      </c>
      <c r="F389" s="6">
        <v>6548553.8051543003</v>
      </c>
      <c r="G389" s="7" t="str">
        <f>HYPERLINK("https://minkarta.lantmateriet.se/?e=367160,3672624&amp;n=6548553,8051543&amp;z=12&amp;profile=flygbildmedgranser&amp;background=2&amp;boundaries=true","Visa")</f>
        <v>Visa</v>
      </c>
      <c r="H389" s="5" t="s">
        <v>15</v>
      </c>
      <c r="I389" s="8">
        <v>40.432920000000003</v>
      </c>
      <c r="J389" s="9">
        <v>49.217410000000001</v>
      </c>
      <c r="K389" s="9">
        <v>50.671379999999999</v>
      </c>
      <c r="L389" s="14">
        <v>41.374369999999999</v>
      </c>
      <c r="M389" s="9">
        <v>49.716909999999999</v>
      </c>
      <c r="N389" s="9">
        <v>53.187570000000001</v>
      </c>
      <c r="O389" s="14">
        <v>41.72907</v>
      </c>
      <c r="P389" s="9">
        <v>50.701729999999998</v>
      </c>
      <c r="Q389" s="9">
        <v>53.5563</v>
      </c>
      <c r="R389" s="23">
        <v>37.942950000000003</v>
      </c>
      <c r="S389" s="8">
        <v>0.35470000000000002</v>
      </c>
      <c r="T389" s="9">
        <v>0.98482000000000003</v>
      </c>
      <c r="U389" s="24">
        <v>0.36873</v>
      </c>
    </row>
    <row r="390" spans="1:21" ht="12" customHeight="1" x14ac:dyDescent="0.25">
      <c r="A390" s="5">
        <v>805</v>
      </c>
      <c r="B390" s="19" t="s">
        <v>203</v>
      </c>
      <c r="C390" s="19" t="s">
        <v>12</v>
      </c>
      <c r="D390" s="5" t="s">
        <v>204</v>
      </c>
      <c r="E390" s="6">
        <v>367102.23327303998</v>
      </c>
      <c r="F390" s="6">
        <v>6548586.6237407001</v>
      </c>
      <c r="G390" s="7" t="str">
        <f>HYPERLINK("https://minkarta.lantmateriet.se/?e=367102,23327304&amp;n=6548586,6237407&amp;z=12&amp;profile=flygbildmedgranser&amp;background=2&amp;boundaries=true","Visa")</f>
        <v>Visa</v>
      </c>
      <c r="H390" s="5" t="s">
        <v>15</v>
      </c>
      <c r="I390" s="8">
        <v>41.171990000000001</v>
      </c>
      <c r="J390" s="9">
        <v>45.589829999999999</v>
      </c>
      <c r="K390" s="9">
        <v>47.043799999999997</v>
      </c>
      <c r="L390" s="14">
        <v>42.107250000000001</v>
      </c>
      <c r="M390" s="9">
        <v>46.089329999999997</v>
      </c>
      <c r="N390" s="9">
        <v>49.559989999999999</v>
      </c>
      <c r="O390" s="14">
        <v>42.410339999999998</v>
      </c>
      <c r="P390" s="9">
        <v>47.074150000000003</v>
      </c>
      <c r="Q390" s="9">
        <v>49.928719999999998</v>
      </c>
      <c r="R390" s="23">
        <v>38.450299999999999</v>
      </c>
      <c r="S390" s="8">
        <v>0.30309000000000003</v>
      </c>
      <c r="T390" s="9">
        <v>0.98482000000000003</v>
      </c>
      <c r="U390" s="24">
        <v>0.36873</v>
      </c>
    </row>
    <row r="391" spans="1:21" ht="12" customHeight="1" x14ac:dyDescent="0.25">
      <c r="A391" s="5">
        <v>806</v>
      </c>
      <c r="B391" s="19" t="s">
        <v>203</v>
      </c>
      <c r="C391" s="19" t="s">
        <v>12</v>
      </c>
      <c r="D391" s="5" t="s">
        <v>204</v>
      </c>
      <c r="E391" s="6">
        <v>367104.18676285999</v>
      </c>
      <c r="F391" s="6">
        <v>6548594.0292726997</v>
      </c>
      <c r="G391" s="7" t="str">
        <f>HYPERLINK("https://minkarta.lantmateriet.se/?e=367104,18676286&amp;n=6548594,0292727&amp;z=12&amp;profile=flygbildmedgranser&amp;background=2&amp;boundaries=true","Visa")</f>
        <v>Visa</v>
      </c>
      <c r="H391" s="5" t="s">
        <v>13</v>
      </c>
      <c r="I391" s="8">
        <v>38.21537</v>
      </c>
      <c r="J391" s="9">
        <v>41.066760000000002</v>
      </c>
      <c r="K391" s="9">
        <v>42.635509999999996</v>
      </c>
      <c r="L391" s="14">
        <v>39.140770000000003</v>
      </c>
      <c r="M391" s="9">
        <v>41.523290000000003</v>
      </c>
      <c r="N391" s="9">
        <v>43.141010000000001</v>
      </c>
      <c r="O391" s="14">
        <v>39.530479999999997</v>
      </c>
      <c r="P391" s="9">
        <v>41.554369999999999</v>
      </c>
      <c r="Q391" s="9">
        <v>43.17062</v>
      </c>
      <c r="R391" s="23">
        <v>38.997399999999999</v>
      </c>
      <c r="S391" s="8">
        <v>0.38971</v>
      </c>
      <c r="T391" s="9">
        <v>3.108E-2</v>
      </c>
      <c r="U391" s="24">
        <v>2.9610000000000001E-2</v>
      </c>
    </row>
    <row r="392" spans="1:21" ht="12" customHeight="1" x14ac:dyDescent="0.25">
      <c r="A392" s="5">
        <v>807</v>
      </c>
      <c r="B392" s="19" t="s">
        <v>203</v>
      </c>
      <c r="C392" s="19" t="s">
        <v>12</v>
      </c>
      <c r="D392" s="5" t="s">
        <v>204</v>
      </c>
      <c r="E392" s="6">
        <v>367097.61672990001</v>
      </c>
      <c r="F392" s="6">
        <v>6548597.9637636999</v>
      </c>
      <c r="G392" s="7" t="str">
        <f>HYPERLINK("https://minkarta.lantmateriet.se/?e=367097,6167299&amp;n=6548597,9637637&amp;z=12&amp;profile=flygbildmedgranser&amp;background=2&amp;boundaries=true","Visa")</f>
        <v>Visa</v>
      </c>
      <c r="H392" s="5" t="s">
        <v>14</v>
      </c>
      <c r="I392" s="8">
        <v>41.943489999999997</v>
      </c>
      <c r="J392" s="9">
        <v>43.348930000000003</v>
      </c>
      <c r="K392" s="9">
        <v>44.877510000000001</v>
      </c>
      <c r="L392" s="14">
        <v>42.853400000000001</v>
      </c>
      <c r="M392" s="9">
        <v>43.778030000000001</v>
      </c>
      <c r="N392" s="9">
        <v>45.396000000000001</v>
      </c>
      <c r="O392" s="14">
        <v>43.1798</v>
      </c>
      <c r="P392" s="9">
        <v>43.806480000000001</v>
      </c>
      <c r="Q392" s="9">
        <v>45.425319999999999</v>
      </c>
      <c r="R392" s="23">
        <v>41.404820000000001</v>
      </c>
      <c r="S392" s="8">
        <v>0.32640000000000002</v>
      </c>
      <c r="T392" s="9">
        <v>2.845E-2</v>
      </c>
      <c r="U392" s="24">
        <v>2.9319999999999999E-2</v>
      </c>
    </row>
    <row r="393" spans="1:21" ht="12" customHeight="1" x14ac:dyDescent="0.25">
      <c r="A393" s="5">
        <v>808</v>
      </c>
      <c r="B393" s="19" t="s">
        <v>203</v>
      </c>
      <c r="C393" s="19" t="s">
        <v>12</v>
      </c>
      <c r="D393" s="5" t="s">
        <v>204</v>
      </c>
      <c r="E393" s="6">
        <v>367095.66323902999</v>
      </c>
      <c r="F393" s="6">
        <v>6548590.5582315996</v>
      </c>
      <c r="G393" s="7" t="str">
        <f>HYPERLINK("https://minkarta.lantmateriet.se/?e=367095,66323903&amp;n=6548590,5582316&amp;z=12&amp;profile=flygbildmedgranser&amp;background=2&amp;boundaries=true","Visa")</f>
        <v>Visa</v>
      </c>
      <c r="H393" s="5" t="s">
        <v>16</v>
      </c>
      <c r="I393" s="8">
        <v>43.843359999999997</v>
      </c>
      <c r="J393" s="9">
        <v>45.183770000000003</v>
      </c>
      <c r="K393" s="9">
        <v>46.637729999999998</v>
      </c>
      <c r="L393" s="14">
        <v>44.764740000000003</v>
      </c>
      <c r="M393" s="9">
        <v>45.683259999999997</v>
      </c>
      <c r="N393" s="9">
        <v>49.153919999999999</v>
      </c>
      <c r="O393" s="14">
        <v>45.110509999999998</v>
      </c>
      <c r="P393" s="9">
        <v>46.668080000000003</v>
      </c>
      <c r="Q393" s="9">
        <v>49.522660000000002</v>
      </c>
      <c r="R393" s="23">
        <v>39.697290000000002</v>
      </c>
      <c r="S393" s="8">
        <v>0.34577000000000002</v>
      </c>
      <c r="T393" s="9">
        <v>0.98482000000000003</v>
      </c>
      <c r="U393" s="24">
        <v>0.36874000000000001</v>
      </c>
    </row>
    <row r="394" spans="1:21" ht="12" customHeight="1" x14ac:dyDescent="0.25">
      <c r="A394" s="5">
        <v>809</v>
      </c>
      <c r="B394" s="19" t="s">
        <v>205</v>
      </c>
      <c r="C394" s="19" t="s">
        <v>12</v>
      </c>
      <c r="D394" s="5" t="s">
        <v>206</v>
      </c>
      <c r="E394" s="6">
        <v>367095.01258540998</v>
      </c>
      <c r="F394" s="6">
        <v>6548616.9091026997</v>
      </c>
      <c r="G394" s="7" t="str">
        <f>HYPERLINK("https://minkarta.lantmateriet.se/?e=367095,01258541&amp;n=6548616,9091027&amp;z=12&amp;profile=flygbildmedgranser&amp;background=2&amp;boundaries=true","Visa")</f>
        <v>Visa</v>
      </c>
      <c r="H394" s="5" t="s">
        <v>15</v>
      </c>
      <c r="I394" s="8">
        <v>44.062440000000002</v>
      </c>
      <c r="J394" s="9">
        <v>47.157629999999997</v>
      </c>
      <c r="K394" s="9">
        <v>48.782260000000001</v>
      </c>
      <c r="L394" s="14">
        <v>44.972700000000003</v>
      </c>
      <c r="M394" s="9">
        <v>47.657130000000002</v>
      </c>
      <c r="N394" s="9">
        <v>51.127780000000001</v>
      </c>
      <c r="O394" s="14">
        <v>45.356619999999999</v>
      </c>
      <c r="P394" s="9">
        <v>48.641939999999998</v>
      </c>
      <c r="Q394" s="9">
        <v>51.496519999999997</v>
      </c>
      <c r="R394" s="23">
        <v>39.978560000000002</v>
      </c>
      <c r="S394" s="8">
        <v>0.38391999999999998</v>
      </c>
      <c r="T394" s="9">
        <v>0.98480999999999996</v>
      </c>
      <c r="U394" s="24">
        <v>0.36874000000000001</v>
      </c>
    </row>
    <row r="395" spans="1:21" ht="12" customHeight="1" x14ac:dyDescent="0.25">
      <c r="A395" s="5">
        <v>810</v>
      </c>
      <c r="B395" s="19" t="s">
        <v>205</v>
      </c>
      <c r="C395" s="19" t="s">
        <v>12</v>
      </c>
      <c r="D395" s="5" t="s">
        <v>206</v>
      </c>
      <c r="E395" s="6">
        <v>367101.78690017998</v>
      </c>
      <c r="F395" s="6">
        <v>6548621.0925856</v>
      </c>
      <c r="G395" s="7" t="str">
        <f>HYPERLINK("https://minkarta.lantmateriet.se/?e=367101,78690018&amp;n=6548621,0925856&amp;z=12&amp;profile=flygbildmedgranser&amp;background=2&amp;boundaries=true","Visa")</f>
        <v>Visa</v>
      </c>
      <c r="H395" s="5" t="s">
        <v>13</v>
      </c>
      <c r="I395" s="8">
        <v>40.714440000000003</v>
      </c>
      <c r="J395" s="9">
        <v>43.42456</v>
      </c>
      <c r="K395" s="9">
        <v>44.953139999999998</v>
      </c>
      <c r="L395" s="14">
        <v>41.625880000000002</v>
      </c>
      <c r="M395" s="9">
        <v>43.853670000000001</v>
      </c>
      <c r="N395" s="9">
        <v>45.471640000000001</v>
      </c>
      <c r="O395" s="14">
        <v>41.770820000000001</v>
      </c>
      <c r="P395" s="9">
        <v>43.88212</v>
      </c>
      <c r="Q395" s="9">
        <v>45.500959999999999</v>
      </c>
      <c r="R395" s="23">
        <v>27.15588</v>
      </c>
      <c r="S395" s="8">
        <v>0.14494000000000001</v>
      </c>
      <c r="T395" s="9">
        <v>2.845E-2</v>
      </c>
      <c r="U395" s="24">
        <v>2.9319999999999999E-2</v>
      </c>
    </row>
    <row r="396" spans="1:21" ht="12" customHeight="1" x14ac:dyDescent="0.25">
      <c r="A396" s="5">
        <v>813</v>
      </c>
      <c r="B396" s="19" t="s">
        <v>207</v>
      </c>
      <c r="C396" s="19" t="s">
        <v>12</v>
      </c>
      <c r="D396" s="5" t="s">
        <v>208</v>
      </c>
      <c r="E396" s="6">
        <v>367109.03514984</v>
      </c>
      <c r="F396" s="6">
        <v>6548641.1797503</v>
      </c>
      <c r="G396" s="7" t="str">
        <f>HYPERLINK("https://minkarta.lantmateriet.se/?e=367109,03514984&amp;n=6548641,1797503&amp;z=12&amp;profile=flygbildmedgranser&amp;background=2&amp;boundaries=true","Visa")</f>
        <v>Visa</v>
      </c>
      <c r="H396" s="5" t="s">
        <v>8</v>
      </c>
      <c r="I396" s="8">
        <v>39.601840000000003</v>
      </c>
      <c r="J396" s="9">
        <v>42.966279999999998</v>
      </c>
      <c r="K396" s="9">
        <v>44.42024</v>
      </c>
      <c r="L396" s="14">
        <v>40.518129999999999</v>
      </c>
      <c r="M396" s="9">
        <v>43.465769999999999</v>
      </c>
      <c r="N396" s="9">
        <v>46.936430000000001</v>
      </c>
      <c r="O396" s="14">
        <v>40.732700000000001</v>
      </c>
      <c r="P396" s="9">
        <v>44.450589999999998</v>
      </c>
      <c r="Q396" s="9">
        <v>47.305169999999997</v>
      </c>
      <c r="R396" s="23">
        <v>32.860120000000002</v>
      </c>
      <c r="S396" s="8">
        <v>0.21457000000000001</v>
      </c>
      <c r="T396" s="9">
        <v>0.98482000000000003</v>
      </c>
      <c r="U396" s="24">
        <v>0.36874000000000001</v>
      </c>
    </row>
    <row r="397" spans="1:21" ht="12" customHeight="1" x14ac:dyDescent="0.25">
      <c r="A397" s="5">
        <v>816</v>
      </c>
      <c r="B397" s="19" t="s">
        <v>207</v>
      </c>
      <c r="C397" s="19" t="s">
        <v>12</v>
      </c>
      <c r="D397" s="5" t="s">
        <v>208</v>
      </c>
      <c r="E397" s="6">
        <v>367101.59024937998</v>
      </c>
      <c r="F397" s="6">
        <v>6548643.6478530001</v>
      </c>
      <c r="G397" s="7" t="str">
        <f>HYPERLINK("https://minkarta.lantmateriet.se/?e=367101,59024938&amp;n=6548643,647853&amp;z=12&amp;profile=flygbildmedgranser&amp;background=2&amp;boundaries=true","Visa")</f>
        <v>Visa</v>
      </c>
      <c r="H397" s="5" t="s">
        <v>11</v>
      </c>
      <c r="I397" s="8">
        <v>43.952779999999997</v>
      </c>
      <c r="J397" s="9">
        <v>46.480220000000003</v>
      </c>
      <c r="K397" s="9">
        <v>48.048969999999997</v>
      </c>
      <c r="L397" s="14">
        <v>44.865960000000001</v>
      </c>
      <c r="M397" s="9">
        <v>46.93674</v>
      </c>
      <c r="N397" s="9">
        <v>48.554470000000002</v>
      </c>
      <c r="O397" s="14">
        <v>45.18338</v>
      </c>
      <c r="P397" s="9">
        <v>46.967829999999999</v>
      </c>
      <c r="Q397" s="9">
        <v>48.584069999999997</v>
      </c>
      <c r="R397" s="23">
        <v>39.328020000000002</v>
      </c>
      <c r="S397" s="8">
        <v>0.31741999999999998</v>
      </c>
      <c r="T397" s="9">
        <v>3.109E-2</v>
      </c>
      <c r="U397" s="24">
        <v>2.9600000000000001E-2</v>
      </c>
    </row>
    <row r="398" spans="1:21" ht="12" customHeight="1" x14ac:dyDescent="0.25">
      <c r="A398" s="5">
        <v>817</v>
      </c>
      <c r="B398" s="19" t="s">
        <v>209</v>
      </c>
      <c r="C398" s="19" t="s">
        <v>12</v>
      </c>
      <c r="D398" s="5" t="s">
        <v>210</v>
      </c>
      <c r="E398" s="6">
        <v>367120.23020141001</v>
      </c>
      <c r="F398" s="6">
        <v>6548663.0537748998</v>
      </c>
      <c r="G398" s="7" t="str">
        <f>HYPERLINK("https://minkarta.lantmateriet.se/?e=367120,23020141&amp;n=6548663,0537749&amp;z=12&amp;profile=flygbildmedgranser&amp;background=2&amp;boundaries=true","Visa")</f>
        <v>Visa</v>
      </c>
      <c r="H398" s="5" t="s">
        <v>10</v>
      </c>
      <c r="I398" s="8">
        <v>44.560009999999998</v>
      </c>
      <c r="J398" s="9">
        <v>47.875320000000002</v>
      </c>
      <c r="K398" s="9">
        <v>49.444070000000004</v>
      </c>
      <c r="L398" s="14">
        <v>45.468049999999998</v>
      </c>
      <c r="M398" s="9">
        <v>48.331850000000003</v>
      </c>
      <c r="N398" s="9">
        <v>49.949570000000001</v>
      </c>
      <c r="O398" s="14">
        <v>45.748930000000001</v>
      </c>
      <c r="P398" s="9">
        <v>48.362929999999999</v>
      </c>
      <c r="Q398" s="9">
        <v>49.979179999999999</v>
      </c>
      <c r="R398" s="23">
        <v>35.933900000000001</v>
      </c>
      <c r="S398" s="8">
        <v>0.28088000000000002</v>
      </c>
      <c r="T398" s="9">
        <v>3.108E-2</v>
      </c>
      <c r="U398" s="24">
        <v>2.9610000000000001E-2</v>
      </c>
    </row>
    <row r="399" spans="1:21" ht="12" customHeight="1" x14ac:dyDescent="0.25">
      <c r="A399" s="5">
        <v>818</v>
      </c>
      <c r="B399" s="19" t="s">
        <v>209</v>
      </c>
      <c r="C399" s="19" t="s">
        <v>12</v>
      </c>
      <c r="D399" s="5" t="s">
        <v>210</v>
      </c>
      <c r="E399" s="6">
        <v>367119.85522819002</v>
      </c>
      <c r="F399" s="6">
        <v>6548655.6747022001</v>
      </c>
      <c r="G399" s="7" t="str">
        <f>HYPERLINK("https://minkarta.lantmateriet.se/?e=367119,85522819&amp;n=6548655,6747022&amp;z=12&amp;profile=flygbildmedgranser&amp;background=2&amp;boundaries=true","Visa")</f>
        <v>Visa</v>
      </c>
      <c r="H399" s="5" t="s">
        <v>11</v>
      </c>
      <c r="I399" s="8">
        <v>43.300980000000003</v>
      </c>
      <c r="J399" s="9">
        <v>46.640920000000001</v>
      </c>
      <c r="K399" s="9">
        <v>48.209670000000003</v>
      </c>
      <c r="L399" s="14">
        <v>44.21978</v>
      </c>
      <c r="M399" s="9">
        <v>47.097450000000002</v>
      </c>
      <c r="N399" s="9">
        <v>48.715170000000001</v>
      </c>
      <c r="O399" s="14">
        <v>44.382919999999999</v>
      </c>
      <c r="P399" s="9">
        <v>47.128529999999998</v>
      </c>
      <c r="Q399" s="9">
        <v>48.744770000000003</v>
      </c>
      <c r="R399" s="23">
        <v>32.10098</v>
      </c>
      <c r="S399" s="8">
        <v>0.16314000000000001</v>
      </c>
      <c r="T399" s="9">
        <v>3.108E-2</v>
      </c>
      <c r="U399" s="24">
        <v>2.9600000000000001E-2</v>
      </c>
    </row>
    <row r="400" spans="1:21" ht="12" customHeight="1" x14ac:dyDescent="0.25">
      <c r="A400" s="5">
        <v>819</v>
      </c>
      <c r="B400" s="19" t="s">
        <v>209</v>
      </c>
      <c r="C400" s="19" t="s">
        <v>12</v>
      </c>
      <c r="D400" s="5" t="s">
        <v>210</v>
      </c>
      <c r="E400" s="6">
        <v>367127.24180108</v>
      </c>
      <c r="F400" s="6">
        <v>6548652.5422294</v>
      </c>
      <c r="G400" s="7" t="str">
        <f>HYPERLINK("https://minkarta.lantmateriet.se/?e=367127,24180108&amp;n=6548652,5422294&amp;z=12&amp;profile=flygbildmedgranser&amp;background=2&amp;boundaries=true","Visa")</f>
        <v>Visa</v>
      </c>
      <c r="H400" s="5" t="s">
        <v>8</v>
      </c>
      <c r="I400" s="8">
        <v>41.557499999999997</v>
      </c>
      <c r="J400" s="9">
        <v>41.35839</v>
      </c>
      <c r="K400" s="9">
        <v>42.927140000000001</v>
      </c>
      <c r="L400" s="14">
        <v>42.478740000000002</v>
      </c>
      <c r="M400" s="9">
        <v>41.814909999999998</v>
      </c>
      <c r="N400" s="9">
        <v>43.432639999999999</v>
      </c>
      <c r="O400" s="14">
        <v>42.68965</v>
      </c>
      <c r="P400" s="9">
        <v>41.845999999999997</v>
      </c>
      <c r="Q400" s="9">
        <v>43.462240000000001</v>
      </c>
      <c r="R400" s="23">
        <v>33.859720000000003</v>
      </c>
      <c r="S400" s="8">
        <v>0.21090999999999999</v>
      </c>
      <c r="T400" s="9">
        <v>3.109E-2</v>
      </c>
      <c r="U400" s="24">
        <v>2.9600000000000001E-2</v>
      </c>
    </row>
    <row r="401" spans="1:21" ht="12" customHeight="1" x14ac:dyDescent="0.25">
      <c r="A401" s="5">
        <v>820</v>
      </c>
      <c r="B401" s="19" t="s">
        <v>209</v>
      </c>
      <c r="C401" s="19" t="s">
        <v>12</v>
      </c>
      <c r="D401" s="5" t="s">
        <v>210</v>
      </c>
      <c r="E401" s="6">
        <v>367130.71427324001</v>
      </c>
      <c r="F401" s="6">
        <v>6548656.5633028001</v>
      </c>
      <c r="G401" s="7" t="str">
        <f>HYPERLINK("https://minkarta.lantmateriet.se/?e=367130,71427324&amp;n=6548656,5633028&amp;z=12&amp;profile=flygbildmedgranser&amp;background=2&amp;boundaries=true","Visa")</f>
        <v>Visa</v>
      </c>
      <c r="H401" s="5" t="s">
        <v>9</v>
      </c>
      <c r="I401" s="8">
        <v>41.082459999999998</v>
      </c>
      <c r="J401" s="9">
        <v>41.588160000000002</v>
      </c>
      <c r="K401" s="9">
        <v>43.156910000000003</v>
      </c>
      <c r="L401" s="14">
        <v>41.999740000000003</v>
      </c>
      <c r="M401" s="9">
        <v>42.044690000000003</v>
      </c>
      <c r="N401" s="9">
        <v>43.662410000000001</v>
      </c>
      <c r="O401" s="14">
        <v>42.170180000000002</v>
      </c>
      <c r="P401" s="9">
        <v>42.075769999999999</v>
      </c>
      <c r="Q401" s="9">
        <v>43.692010000000003</v>
      </c>
      <c r="R401" s="23">
        <v>31.514209999999999</v>
      </c>
      <c r="S401" s="8">
        <v>0.17044000000000001</v>
      </c>
      <c r="T401" s="9">
        <v>3.108E-2</v>
      </c>
      <c r="U401" s="24">
        <v>2.9600000000000001E-2</v>
      </c>
    </row>
    <row r="402" spans="1:21" ht="12" customHeight="1" x14ac:dyDescent="0.25">
      <c r="A402" s="5">
        <v>821</v>
      </c>
      <c r="B402" s="19" t="s">
        <v>209</v>
      </c>
      <c r="C402" s="19" t="s">
        <v>12</v>
      </c>
      <c r="D402" s="5" t="s">
        <v>210</v>
      </c>
      <c r="E402" s="6">
        <v>367132.48179991997</v>
      </c>
      <c r="F402" s="6">
        <v>6548659.6282286998</v>
      </c>
      <c r="G402" s="7" t="str">
        <f>HYPERLINK("https://minkarta.lantmateriet.se/?e=367132,48179992&amp;n=6548659,6282287&amp;z=12&amp;profile=flygbildmedgranser&amp;background=2&amp;boundaries=true","Visa")</f>
        <v>Visa</v>
      </c>
      <c r="H402" s="5" t="s">
        <v>8</v>
      </c>
      <c r="I402" s="8">
        <v>41.27196</v>
      </c>
      <c r="J402" s="9">
        <v>41.31879</v>
      </c>
      <c r="K402" s="9">
        <v>42.96613</v>
      </c>
      <c r="L402" s="14">
        <v>42.184440000000002</v>
      </c>
      <c r="M402" s="9">
        <v>41.768810000000002</v>
      </c>
      <c r="N402" s="9">
        <v>43.53389</v>
      </c>
      <c r="O402" s="14">
        <v>42.386539999999997</v>
      </c>
      <c r="P402" s="9">
        <v>41.535919999999997</v>
      </c>
      <c r="Q402" s="9">
        <v>43.154760000000003</v>
      </c>
      <c r="R402" s="23">
        <v>30.756440000000001</v>
      </c>
      <c r="S402" s="8">
        <v>0.2021</v>
      </c>
      <c r="T402" s="9">
        <v>-0.23289000000000001</v>
      </c>
      <c r="U402" s="24">
        <v>-0.37913000000000002</v>
      </c>
    </row>
    <row r="403" spans="1:21" ht="12" customHeight="1" x14ac:dyDescent="0.25">
      <c r="A403" s="5">
        <v>822</v>
      </c>
      <c r="B403" s="19" t="s">
        <v>209</v>
      </c>
      <c r="C403" s="19" t="s">
        <v>12</v>
      </c>
      <c r="D403" s="5" t="s">
        <v>210</v>
      </c>
      <c r="E403" s="6">
        <v>367132.05677401001</v>
      </c>
      <c r="F403" s="6">
        <v>6548666.7433014</v>
      </c>
      <c r="G403" s="7" t="str">
        <f>HYPERLINK("https://minkarta.lantmateriet.se/?e=367132,05677401&amp;n=6548666,7433014&amp;z=12&amp;profile=flygbildmedgranser&amp;background=2&amp;boundaries=true","Visa")</f>
        <v>Visa</v>
      </c>
      <c r="H403" s="5" t="s">
        <v>9</v>
      </c>
      <c r="I403" s="8">
        <v>41.558950000000003</v>
      </c>
      <c r="J403" s="9">
        <v>42.128959999999999</v>
      </c>
      <c r="K403" s="9">
        <v>43.657539999999997</v>
      </c>
      <c r="L403" s="14">
        <v>42.474469999999997</v>
      </c>
      <c r="M403" s="9">
        <v>42.558059999999998</v>
      </c>
      <c r="N403" s="9">
        <v>44.176029999999997</v>
      </c>
      <c r="O403" s="14">
        <v>42.633879999999998</v>
      </c>
      <c r="P403" s="9">
        <v>42.586509999999997</v>
      </c>
      <c r="Q403" s="9">
        <v>44.205350000000003</v>
      </c>
      <c r="R403" s="23">
        <v>28.324660000000002</v>
      </c>
      <c r="S403" s="8">
        <v>0.15941</v>
      </c>
      <c r="T403" s="9">
        <v>2.845E-2</v>
      </c>
      <c r="U403" s="24">
        <v>2.9319999999999999E-2</v>
      </c>
    </row>
    <row r="404" spans="1:21" ht="12" customHeight="1" x14ac:dyDescent="0.25">
      <c r="A404" s="5">
        <v>823</v>
      </c>
      <c r="B404" s="19" t="s">
        <v>209</v>
      </c>
      <c r="C404" s="19" t="s">
        <v>12</v>
      </c>
      <c r="D404" s="5" t="s">
        <v>210</v>
      </c>
      <c r="E404" s="6">
        <v>367125.32370181999</v>
      </c>
      <c r="F404" s="6">
        <v>6548670.4077751003</v>
      </c>
      <c r="G404" s="7" t="str">
        <f>HYPERLINK("https://minkarta.lantmateriet.se/?e=367125,32370182&amp;n=6548670,4077751&amp;z=12&amp;profile=flygbildmedgranser&amp;background=2&amp;boundaries=true","Visa")</f>
        <v>Visa</v>
      </c>
      <c r="H404" s="5" t="s">
        <v>10</v>
      </c>
      <c r="I404" s="8">
        <v>44.173479999999998</v>
      </c>
      <c r="J404" s="9">
        <v>45.509619999999998</v>
      </c>
      <c r="K404" s="9">
        <v>47.583759999999998</v>
      </c>
      <c r="L404" s="14">
        <v>45.082030000000003</v>
      </c>
      <c r="M404" s="9">
        <v>45.994549999999997</v>
      </c>
      <c r="N404" s="9">
        <v>48.333190000000002</v>
      </c>
      <c r="O404" s="14">
        <v>45.331200000000003</v>
      </c>
      <c r="P404" s="9">
        <v>46.035679999999999</v>
      </c>
      <c r="Q404" s="9">
        <v>48.375570000000003</v>
      </c>
      <c r="R404" s="23">
        <v>37.467480000000002</v>
      </c>
      <c r="S404" s="8">
        <v>0.24917</v>
      </c>
      <c r="T404" s="9">
        <v>4.113E-2</v>
      </c>
      <c r="U404" s="24">
        <v>4.2380000000000001E-2</v>
      </c>
    </row>
    <row r="405" spans="1:21" ht="12" customHeight="1" x14ac:dyDescent="0.25">
      <c r="A405" s="5">
        <v>824</v>
      </c>
      <c r="B405" s="19" t="s">
        <v>209</v>
      </c>
      <c r="C405" s="19" t="s">
        <v>12</v>
      </c>
      <c r="D405" s="5" t="s">
        <v>210</v>
      </c>
      <c r="E405" s="6">
        <v>367122.65122911002</v>
      </c>
      <c r="F405" s="6">
        <v>6548666.6507005002</v>
      </c>
      <c r="G405" s="7" t="str">
        <f>HYPERLINK("https://minkarta.lantmateriet.se/?e=367122,65122911&amp;n=6548666,6507005&amp;z=12&amp;profile=flygbildmedgranser&amp;background=2&amp;boundaries=true","Visa")</f>
        <v>Visa</v>
      </c>
      <c r="H405" s="5" t="s">
        <v>11</v>
      </c>
      <c r="I405" s="8">
        <v>45.259689999999999</v>
      </c>
      <c r="J405" s="9">
        <v>50.318260000000002</v>
      </c>
      <c r="K405" s="9">
        <v>51.887</v>
      </c>
      <c r="L405" s="14">
        <v>46.174329999999998</v>
      </c>
      <c r="M405" s="9">
        <v>50.77478</v>
      </c>
      <c r="N405" s="9">
        <v>52.392510000000001</v>
      </c>
      <c r="O405" s="14">
        <v>46.389339999999997</v>
      </c>
      <c r="P405" s="9">
        <v>50.805869999999999</v>
      </c>
      <c r="Q405" s="9">
        <v>52.422110000000004</v>
      </c>
      <c r="R405" s="23">
        <v>37.488289999999999</v>
      </c>
      <c r="S405" s="8">
        <v>0.21501000000000001</v>
      </c>
      <c r="T405" s="9">
        <v>3.109E-2</v>
      </c>
      <c r="U405" s="24">
        <v>2.9600000000000001E-2</v>
      </c>
    </row>
    <row r="406" spans="1:21" ht="12" customHeight="1" x14ac:dyDescent="0.25">
      <c r="A406" s="5">
        <v>825</v>
      </c>
      <c r="B406" s="19" t="s">
        <v>211</v>
      </c>
      <c r="C406" s="19" t="s">
        <v>12</v>
      </c>
      <c r="D406" s="5" t="s">
        <v>212</v>
      </c>
      <c r="E406" s="6">
        <v>367149.3915887</v>
      </c>
      <c r="F406" s="6">
        <v>6548664.6598929996</v>
      </c>
      <c r="G406" s="7" t="str">
        <f>HYPERLINK("https://minkarta.lantmateriet.se/?e=367149,3915887&amp;n=6548664,659893&amp;z=12&amp;profile=flygbildmedgranser&amp;background=2&amp;boundaries=true","Visa")</f>
        <v>Visa</v>
      </c>
      <c r="H406" s="5" t="s">
        <v>8</v>
      </c>
      <c r="I406" s="8">
        <v>38.289380000000001</v>
      </c>
      <c r="J406" s="9">
        <v>40.273330000000001</v>
      </c>
      <c r="K406" s="9">
        <v>41.801909999999999</v>
      </c>
      <c r="L406" s="14">
        <v>39.22484</v>
      </c>
      <c r="M406" s="9">
        <v>40.70243</v>
      </c>
      <c r="N406" s="9">
        <v>42.320399999999999</v>
      </c>
      <c r="O406" s="14">
        <v>39.46705</v>
      </c>
      <c r="P406" s="9">
        <v>40.730879999999999</v>
      </c>
      <c r="Q406" s="9">
        <v>42.349719999999998</v>
      </c>
      <c r="R406" s="23">
        <v>38.714669999999998</v>
      </c>
      <c r="S406" s="8">
        <v>0.24221000000000001</v>
      </c>
      <c r="T406" s="9">
        <v>2.845E-2</v>
      </c>
      <c r="U406" s="24">
        <v>2.9319999999999999E-2</v>
      </c>
    </row>
    <row r="407" spans="1:21" ht="12" customHeight="1" x14ac:dyDescent="0.25">
      <c r="A407" s="5">
        <v>826</v>
      </c>
      <c r="B407" s="19" t="s">
        <v>211</v>
      </c>
      <c r="C407" s="19" t="s">
        <v>12</v>
      </c>
      <c r="D407" s="5" t="s">
        <v>212</v>
      </c>
      <c r="E407" s="6">
        <v>367152.51361044002</v>
      </c>
      <c r="F407" s="6">
        <v>6548668.4505890002</v>
      </c>
      <c r="G407" s="7" t="str">
        <f>HYPERLINK("https://minkarta.lantmateriet.se/?e=367152,51361044&amp;n=6548668,450589&amp;z=12&amp;profile=flygbildmedgranser&amp;background=2&amp;boundaries=true","Visa")</f>
        <v>Visa</v>
      </c>
      <c r="H407" s="5" t="s">
        <v>9</v>
      </c>
      <c r="I407" s="8">
        <v>35.954459999999997</v>
      </c>
      <c r="J407" s="9">
        <v>38.811979999999998</v>
      </c>
      <c r="K407" s="9">
        <v>40.38073</v>
      </c>
      <c r="L407" s="14">
        <v>36.86195</v>
      </c>
      <c r="M407" s="9">
        <v>39.268509999999999</v>
      </c>
      <c r="N407" s="9">
        <v>40.886229999999998</v>
      </c>
      <c r="O407" s="14">
        <v>37.090609999999998</v>
      </c>
      <c r="P407" s="9">
        <v>39.299590000000002</v>
      </c>
      <c r="Q407" s="9">
        <v>40.91583</v>
      </c>
      <c r="R407" s="23">
        <v>29.962599999999998</v>
      </c>
      <c r="S407" s="8">
        <v>0.22866</v>
      </c>
      <c r="T407" s="9">
        <v>3.108E-2</v>
      </c>
      <c r="U407" s="24">
        <v>2.9600000000000001E-2</v>
      </c>
    </row>
    <row r="408" spans="1:21" ht="12" customHeight="1" x14ac:dyDescent="0.25">
      <c r="A408" s="5">
        <v>827</v>
      </c>
      <c r="B408" s="19" t="s">
        <v>211</v>
      </c>
      <c r="C408" s="19" t="s">
        <v>12</v>
      </c>
      <c r="D408" s="5" t="s">
        <v>212</v>
      </c>
      <c r="E408" s="6">
        <v>367153.82158836001</v>
      </c>
      <c r="F408" s="6">
        <v>6548671.1458927998</v>
      </c>
      <c r="G408" s="7" t="str">
        <f>HYPERLINK("https://minkarta.lantmateriet.se/?e=367153,82158836&amp;n=6548671,1458928&amp;z=12&amp;profile=flygbildmedgranser&amp;background=2&amp;boundaries=true","Visa")</f>
        <v>Visa</v>
      </c>
      <c r="H408" s="5" t="s">
        <v>8</v>
      </c>
      <c r="I408" s="8">
        <v>36.904629999999997</v>
      </c>
      <c r="J408" s="9">
        <v>38.859520000000003</v>
      </c>
      <c r="K408" s="9">
        <v>40.388100000000001</v>
      </c>
      <c r="L408" s="14">
        <v>37.827800000000003</v>
      </c>
      <c r="M408" s="9">
        <v>39.288629999999998</v>
      </c>
      <c r="N408" s="9">
        <v>40.906590000000001</v>
      </c>
      <c r="O408" s="14">
        <v>38.100430000000003</v>
      </c>
      <c r="P408" s="9">
        <v>41.002490000000002</v>
      </c>
      <c r="Q408" s="9">
        <v>42.62133</v>
      </c>
      <c r="R408" s="23">
        <v>26.22578</v>
      </c>
      <c r="S408" s="8">
        <v>0.27262999999999998</v>
      </c>
      <c r="T408" s="9">
        <v>1.7138599999999999</v>
      </c>
      <c r="U408" s="24">
        <v>1.7147399999999999</v>
      </c>
    </row>
    <row r="409" spans="1:21" ht="12" customHeight="1" x14ac:dyDescent="0.25">
      <c r="A409" s="5">
        <v>828</v>
      </c>
      <c r="B409" s="19" t="s">
        <v>211</v>
      </c>
      <c r="C409" s="19" t="s">
        <v>12</v>
      </c>
      <c r="D409" s="5" t="s">
        <v>212</v>
      </c>
      <c r="E409" s="6">
        <v>367153.59511077002</v>
      </c>
      <c r="F409" s="6">
        <v>6548676.4780884003</v>
      </c>
      <c r="G409" s="7" t="str">
        <f>HYPERLINK("https://minkarta.lantmateriet.se/?e=367153,59511077&amp;n=6548676,4780884&amp;z=12&amp;profile=flygbildmedgranser&amp;background=2&amp;boundaries=true","Visa")</f>
        <v>Visa</v>
      </c>
      <c r="H409" s="5" t="s">
        <v>9</v>
      </c>
      <c r="I409" s="8">
        <v>38.057119999999998</v>
      </c>
      <c r="J409" s="9">
        <v>40.498730000000002</v>
      </c>
      <c r="K409" s="9">
        <v>42.067480000000003</v>
      </c>
      <c r="L409" s="14">
        <v>38.968989999999998</v>
      </c>
      <c r="M409" s="9">
        <v>40.955260000000003</v>
      </c>
      <c r="N409" s="9">
        <v>42.793080000000003</v>
      </c>
      <c r="O409" s="14">
        <v>39.149650000000001</v>
      </c>
      <c r="P409" s="9">
        <v>40.986339999999998</v>
      </c>
      <c r="Q409" s="9">
        <v>42.835859999999997</v>
      </c>
      <c r="R409" s="23">
        <v>26.60765</v>
      </c>
      <c r="S409" s="8">
        <v>0.18065999999999999</v>
      </c>
      <c r="T409" s="9">
        <v>3.108E-2</v>
      </c>
      <c r="U409" s="24">
        <v>4.2779999999999999E-2</v>
      </c>
    </row>
    <row r="410" spans="1:21" ht="12" customHeight="1" x14ac:dyDescent="0.25">
      <c r="A410" s="5">
        <v>829</v>
      </c>
      <c r="B410" s="19" t="s">
        <v>211</v>
      </c>
      <c r="C410" s="19" t="s">
        <v>12</v>
      </c>
      <c r="D410" s="5" t="s">
        <v>212</v>
      </c>
      <c r="E410" s="6">
        <v>367148.59841399</v>
      </c>
      <c r="F410" s="6">
        <v>6548678.9916113997</v>
      </c>
      <c r="G410" s="7" t="str">
        <f>HYPERLINK("https://minkarta.lantmateriet.se/?e=367148,59841399&amp;n=6548678,9916114&amp;z=12&amp;profile=flygbildmedgranser&amp;background=2&amp;boundaries=true","Visa")</f>
        <v>Visa</v>
      </c>
      <c r="H410" s="5" t="s">
        <v>10</v>
      </c>
      <c r="I410" s="8">
        <v>41.764130000000002</v>
      </c>
      <c r="J410" s="9">
        <v>47.170810000000003</v>
      </c>
      <c r="K410" s="9">
        <v>48.739559999999997</v>
      </c>
      <c r="L410" s="14">
        <v>42.668869999999998</v>
      </c>
      <c r="M410" s="9">
        <v>47.627339999999997</v>
      </c>
      <c r="N410" s="9">
        <v>49.245060000000002</v>
      </c>
      <c r="O410" s="14">
        <v>42.849130000000002</v>
      </c>
      <c r="P410" s="9">
        <v>47.65842</v>
      </c>
      <c r="Q410" s="9">
        <v>49.274659999999997</v>
      </c>
      <c r="R410" s="23">
        <v>32.782490000000003</v>
      </c>
      <c r="S410" s="8">
        <v>0.18026</v>
      </c>
      <c r="T410" s="9">
        <v>3.108E-2</v>
      </c>
      <c r="U410" s="24">
        <v>2.9600000000000001E-2</v>
      </c>
    </row>
    <row r="411" spans="1:21" ht="12" customHeight="1" x14ac:dyDescent="0.25">
      <c r="A411" s="5">
        <v>830</v>
      </c>
      <c r="B411" s="19" t="s">
        <v>211</v>
      </c>
      <c r="C411" s="19" t="s">
        <v>12</v>
      </c>
      <c r="D411" s="5" t="s">
        <v>212</v>
      </c>
      <c r="E411" s="6">
        <v>367142.80841390998</v>
      </c>
      <c r="F411" s="6">
        <v>6548674.8061114</v>
      </c>
      <c r="G411" s="7" t="str">
        <f>HYPERLINK("https://minkarta.lantmateriet.se/?e=367142,80841391&amp;n=6548674,8061114&amp;z=12&amp;profile=flygbildmedgranser&amp;background=2&amp;boundaries=true","Visa")</f>
        <v>Visa</v>
      </c>
      <c r="H411" s="5" t="s">
        <v>10</v>
      </c>
      <c r="I411" s="8">
        <v>41.48883</v>
      </c>
      <c r="J411" s="9">
        <v>45.146340000000002</v>
      </c>
      <c r="K411" s="9">
        <v>46.715090000000004</v>
      </c>
      <c r="L411" s="14">
        <v>42.39329</v>
      </c>
      <c r="M411" s="9">
        <v>45.602870000000003</v>
      </c>
      <c r="N411" s="9">
        <v>47.220590000000001</v>
      </c>
      <c r="O411" s="14">
        <v>42.553550000000001</v>
      </c>
      <c r="P411" s="9">
        <v>45.633949999999999</v>
      </c>
      <c r="Q411" s="9">
        <v>47.250190000000003</v>
      </c>
      <c r="R411" s="23">
        <v>31.038270000000001</v>
      </c>
      <c r="S411" s="8">
        <v>0.16026000000000001</v>
      </c>
      <c r="T411" s="9">
        <v>3.108E-2</v>
      </c>
      <c r="U411" s="24">
        <v>2.9600000000000001E-2</v>
      </c>
    </row>
    <row r="412" spans="1:21" ht="12" customHeight="1" x14ac:dyDescent="0.25">
      <c r="A412" s="5">
        <v>831</v>
      </c>
      <c r="B412" s="19" t="s">
        <v>211</v>
      </c>
      <c r="C412" s="19" t="s">
        <v>12</v>
      </c>
      <c r="D412" s="5" t="s">
        <v>212</v>
      </c>
      <c r="E412" s="6">
        <v>367142.34389144997</v>
      </c>
      <c r="F412" s="6">
        <v>6548667.5134151997</v>
      </c>
      <c r="G412" s="7" t="str">
        <f>HYPERLINK("https://minkarta.lantmateriet.se/?e=367142,34389145&amp;n=6548667,5134152&amp;z=12&amp;profile=flygbildmedgranser&amp;background=2&amp;boundaries=true","Visa")</f>
        <v>Visa</v>
      </c>
      <c r="H412" s="5" t="s">
        <v>11</v>
      </c>
      <c r="I412" s="8">
        <v>42.327809999999999</v>
      </c>
      <c r="J412" s="9">
        <v>45.282249999999998</v>
      </c>
      <c r="K412" s="9">
        <v>46.850990000000003</v>
      </c>
      <c r="L412" s="14">
        <v>43.23903</v>
      </c>
      <c r="M412" s="9">
        <v>45.738770000000002</v>
      </c>
      <c r="N412" s="9">
        <v>47.356490000000001</v>
      </c>
      <c r="O412" s="14">
        <v>43.399819999999998</v>
      </c>
      <c r="P412" s="9">
        <v>45.769860000000001</v>
      </c>
      <c r="Q412" s="9">
        <v>47.386099999999999</v>
      </c>
      <c r="R412" s="23">
        <v>32.887430000000002</v>
      </c>
      <c r="S412" s="8">
        <v>0.16078999999999999</v>
      </c>
      <c r="T412" s="9">
        <v>3.109E-2</v>
      </c>
      <c r="U412" s="24">
        <v>2.9610000000000001E-2</v>
      </c>
    </row>
    <row r="413" spans="1:21" ht="12" customHeight="1" x14ac:dyDescent="0.25">
      <c r="A413" s="5">
        <v>832</v>
      </c>
      <c r="B413" s="19" t="s">
        <v>213</v>
      </c>
      <c r="C413" s="19" t="s">
        <v>12</v>
      </c>
      <c r="D413" s="5" t="s">
        <v>214</v>
      </c>
      <c r="E413" s="6">
        <v>367170.29094337998</v>
      </c>
      <c r="F413" s="6">
        <v>6548677.0106127001</v>
      </c>
      <c r="G413" s="7" t="str">
        <f>HYPERLINK("https://minkarta.lantmateriet.se/?e=367170,29094338&amp;n=6548677,0106127&amp;z=12&amp;profile=flygbildmedgranser&amp;background=2&amp;boundaries=true","Visa")</f>
        <v>Visa</v>
      </c>
      <c r="H413" s="5" t="s">
        <v>8</v>
      </c>
      <c r="I413" s="8">
        <v>38.017719999999997</v>
      </c>
      <c r="J413" s="9">
        <v>39.882579999999997</v>
      </c>
      <c r="K413" s="9">
        <v>41.411160000000002</v>
      </c>
      <c r="L413" s="14">
        <v>38.929250000000003</v>
      </c>
      <c r="M413" s="9">
        <v>40.311689999999999</v>
      </c>
      <c r="N413" s="9">
        <v>41.929659999999998</v>
      </c>
      <c r="O413" s="14">
        <v>39.131799999999998</v>
      </c>
      <c r="P413" s="9">
        <v>39.7774</v>
      </c>
      <c r="Q413" s="9">
        <v>41.396239999999999</v>
      </c>
      <c r="R413" s="23">
        <v>31.536549999999998</v>
      </c>
      <c r="S413" s="8">
        <v>0.20255000000000001</v>
      </c>
      <c r="T413" s="9">
        <v>-0.53429000000000004</v>
      </c>
      <c r="U413" s="24">
        <v>-0.53342000000000001</v>
      </c>
    </row>
    <row r="414" spans="1:21" ht="12" customHeight="1" x14ac:dyDescent="0.25">
      <c r="A414" s="5">
        <v>834</v>
      </c>
      <c r="B414" s="19" t="s">
        <v>213</v>
      </c>
      <c r="C414" s="19" t="s">
        <v>12</v>
      </c>
      <c r="D414" s="5" t="s">
        <v>214</v>
      </c>
      <c r="E414" s="6">
        <v>367163.37955816003</v>
      </c>
      <c r="F414" s="6">
        <v>6548687.6633909997</v>
      </c>
      <c r="G414" s="7" t="str">
        <f>HYPERLINK("https://minkarta.lantmateriet.se/?e=367163,37955816&amp;n=6548687,663391&amp;z=12&amp;profile=flygbildmedgranser&amp;background=2&amp;boundaries=true","Visa")</f>
        <v>Visa</v>
      </c>
      <c r="H414" s="5" t="s">
        <v>10</v>
      </c>
      <c r="I414" s="8">
        <v>42.2913</v>
      </c>
      <c r="J414" s="9">
        <v>47.392099999999999</v>
      </c>
      <c r="K414" s="9">
        <v>48.960850000000001</v>
      </c>
      <c r="L414" s="14">
        <v>43.191870000000002</v>
      </c>
      <c r="M414" s="9">
        <v>47.84863</v>
      </c>
      <c r="N414" s="9">
        <v>49.466349999999998</v>
      </c>
      <c r="O414" s="14">
        <v>43.392699999999998</v>
      </c>
      <c r="P414" s="9">
        <v>47.879710000000003</v>
      </c>
      <c r="Q414" s="9">
        <v>49.495950000000001</v>
      </c>
      <c r="R414" s="23">
        <v>35.814660000000003</v>
      </c>
      <c r="S414" s="8">
        <v>0.20083000000000001</v>
      </c>
      <c r="T414" s="9">
        <v>3.108E-2</v>
      </c>
      <c r="U414" s="24">
        <v>2.9600000000000001E-2</v>
      </c>
    </row>
    <row r="415" spans="1:21" ht="12" customHeight="1" x14ac:dyDescent="0.25">
      <c r="A415" s="5">
        <v>835</v>
      </c>
      <c r="B415" s="19" t="s">
        <v>213</v>
      </c>
      <c r="C415" s="19" t="s">
        <v>12</v>
      </c>
      <c r="D415" s="5" t="s">
        <v>214</v>
      </c>
      <c r="E415" s="6">
        <v>367162.72061174002</v>
      </c>
      <c r="F415" s="6">
        <v>6548679.6675596004</v>
      </c>
      <c r="G415" s="7" t="str">
        <f>HYPERLINK("https://minkarta.lantmateriet.se/?e=367162,72061174&amp;n=6548679,6675596&amp;z=12&amp;profile=flygbildmedgranser&amp;background=2&amp;boundaries=true","Visa")</f>
        <v>Visa</v>
      </c>
      <c r="H415" s="5" t="s">
        <v>11</v>
      </c>
      <c r="I415" s="8">
        <v>41.368949999999998</v>
      </c>
      <c r="J415" s="9">
        <v>46.051990000000004</v>
      </c>
      <c r="K415" s="9">
        <v>47.620739999999998</v>
      </c>
      <c r="L415" s="14">
        <v>42.288130000000002</v>
      </c>
      <c r="M415" s="9">
        <v>46.508519999999997</v>
      </c>
      <c r="N415" s="9">
        <v>48.126240000000003</v>
      </c>
      <c r="O415" s="14">
        <v>42.441090000000003</v>
      </c>
      <c r="P415" s="9">
        <v>46.5396</v>
      </c>
      <c r="Q415" s="9">
        <v>48.155839999999998</v>
      </c>
      <c r="R415" s="23">
        <v>30.275559999999999</v>
      </c>
      <c r="S415" s="8">
        <v>0.15296000000000001</v>
      </c>
      <c r="T415" s="9">
        <v>3.108E-2</v>
      </c>
      <c r="U415" s="24">
        <v>2.9600000000000001E-2</v>
      </c>
    </row>
    <row r="416" spans="1:21" ht="12" customHeight="1" x14ac:dyDescent="0.25">
      <c r="A416" s="5">
        <v>836</v>
      </c>
      <c r="B416" s="19" t="s">
        <v>215</v>
      </c>
      <c r="C416" s="19" t="s">
        <v>12</v>
      </c>
      <c r="D416" s="5" t="s">
        <v>216</v>
      </c>
      <c r="E416" s="6">
        <v>367188.98680981999</v>
      </c>
      <c r="F416" s="6">
        <v>6548689.2173621003</v>
      </c>
      <c r="G416" s="7" t="str">
        <f>HYPERLINK("https://minkarta.lantmateriet.se/?e=367188,98680982&amp;n=6548689,2173621&amp;z=12&amp;profile=flygbildmedgranser&amp;background=2&amp;boundaries=true","Visa")</f>
        <v>Visa</v>
      </c>
      <c r="H416" s="5" t="s">
        <v>8</v>
      </c>
      <c r="I416" s="8">
        <v>37.688380000000002</v>
      </c>
      <c r="J416" s="9">
        <v>38.594270000000002</v>
      </c>
      <c r="K416" s="9">
        <v>40.122860000000003</v>
      </c>
      <c r="L416" s="14">
        <v>38.600700000000003</v>
      </c>
      <c r="M416" s="9">
        <v>39.023380000000003</v>
      </c>
      <c r="N416" s="9">
        <v>40.641350000000003</v>
      </c>
      <c r="O416" s="14">
        <v>38.82311</v>
      </c>
      <c r="P416" s="9">
        <v>39.594679999999997</v>
      </c>
      <c r="Q416" s="9">
        <v>41.213520000000003</v>
      </c>
      <c r="R416" s="23">
        <v>30.260159999999999</v>
      </c>
      <c r="S416" s="8">
        <v>0.22241</v>
      </c>
      <c r="T416" s="9">
        <v>0.57130000000000003</v>
      </c>
      <c r="U416" s="24">
        <v>0.57216999999999996</v>
      </c>
    </row>
    <row r="417" spans="1:21" ht="12" customHeight="1" x14ac:dyDescent="0.25">
      <c r="A417" s="5">
        <v>838</v>
      </c>
      <c r="B417" s="19" t="s">
        <v>215</v>
      </c>
      <c r="C417" s="19" t="s">
        <v>12</v>
      </c>
      <c r="D417" s="5" t="s">
        <v>216</v>
      </c>
      <c r="E417" s="6">
        <v>367181.78669169999</v>
      </c>
      <c r="F417" s="6">
        <v>6548699.3056415003</v>
      </c>
      <c r="G417" s="7" t="str">
        <f>HYPERLINK("https://minkarta.lantmateriet.se/?e=367181,7866917&amp;n=6548699,3056415&amp;z=12&amp;profile=flygbildmedgranser&amp;background=2&amp;boundaries=true","Visa")</f>
        <v>Visa</v>
      </c>
      <c r="H417" s="5" t="s">
        <v>10</v>
      </c>
      <c r="I417" s="8">
        <v>41.356780000000001</v>
      </c>
      <c r="J417" s="9">
        <v>45.025219999999997</v>
      </c>
      <c r="K417" s="9">
        <v>46.593969999999999</v>
      </c>
      <c r="L417" s="14">
        <v>42.256320000000002</v>
      </c>
      <c r="M417" s="9">
        <v>45.481749999999998</v>
      </c>
      <c r="N417" s="9">
        <v>47.099469999999997</v>
      </c>
      <c r="O417" s="14">
        <v>42.472929999999998</v>
      </c>
      <c r="P417" s="9">
        <v>45.512830000000001</v>
      </c>
      <c r="Q417" s="9">
        <v>47.129069999999999</v>
      </c>
      <c r="R417" s="23">
        <v>34.35125</v>
      </c>
      <c r="S417" s="8">
        <v>0.21661</v>
      </c>
      <c r="T417" s="9">
        <v>3.108E-2</v>
      </c>
      <c r="U417" s="24">
        <v>2.9600000000000001E-2</v>
      </c>
    </row>
    <row r="418" spans="1:21" ht="12" customHeight="1" x14ac:dyDescent="0.25">
      <c r="A418" s="5">
        <v>839</v>
      </c>
      <c r="B418" s="19" t="s">
        <v>215</v>
      </c>
      <c r="C418" s="19" t="s">
        <v>12</v>
      </c>
      <c r="D418" s="5" t="s">
        <v>216</v>
      </c>
      <c r="E418" s="6">
        <v>367181.37886126002</v>
      </c>
      <c r="F418" s="6">
        <v>6548691.4011930004</v>
      </c>
      <c r="G418" s="7" t="str">
        <f>HYPERLINK("https://minkarta.lantmateriet.se/?e=367181,37886126&amp;n=6548691,401193&amp;z=12&amp;profile=flygbildmedgranser&amp;background=2&amp;boundaries=true","Visa")</f>
        <v>Visa</v>
      </c>
      <c r="H418" s="5" t="s">
        <v>11</v>
      </c>
      <c r="I418" s="8">
        <v>40.895130000000002</v>
      </c>
      <c r="J418" s="9">
        <v>44.410359999999997</v>
      </c>
      <c r="K418" s="9">
        <v>45.979109999999999</v>
      </c>
      <c r="L418" s="14">
        <v>41.806870000000004</v>
      </c>
      <c r="M418" s="9">
        <v>44.866889999999998</v>
      </c>
      <c r="N418" s="9">
        <v>46.484610000000004</v>
      </c>
      <c r="O418" s="14">
        <v>41.97916</v>
      </c>
      <c r="P418" s="9">
        <v>44.897970000000001</v>
      </c>
      <c r="Q418" s="9">
        <v>46.514209999999999</v>
      </c>
      <c r="R418" s="23">
        <v>29.730170000000001</v>
      </c>
      <c r="S418" s="8">
        <v>0.17229</v>
      </c>
      <c r="T418" s="9">
        <v>3.108E-2</v>
      </c>
      <c r="U418" s="24">
        <v>2.9600000000000001E-2</v>
      </c>
    </row>
    <row r="419" spans="1:21" ht="12" customHeight="1" x14ac:dyDescent="0.25">
      <c r="A419" s="5">
        <v>843</v>
      </c>
      <c r="B419" s="19" t="s">
        <v>217</v>
      </c>
      <c r="C419" s="19" t="s">
        <v>12</v>
      </c>
      <c r="D419" s="5" t="s">
        <v>218</v>
      </c>
      <c r="E419" s="6">
        <v>367199.28753854003</v>
      </c>
      <c r="F419" s="6">
        <v>6548704.3014522996</v>
      </c>
      <c r="G419" s="7" t="str">
        <f>HYPERLINK("https://minkarta.lantmateriet.se/?e=367199,28753854&amp;n=6548704,3014523&amp;z=12&amp;profile=flygbildmedgranser&amp;background=2&amp;boundaries=true","Visa")</f>
        <v>Visa</v>
      </c>
      <c r="H419" s="5" t="s">
        <v>11</v>
      </c>
      <c r="I419" s="8">
        <v>41.176400000000001</v>
      </c>
      <c r="J419" s="9">
        <v>44.781170000000003</v>
      </c>
      <c r="K419" s="9">
        <v>46.349919999999997</v>
      </c>
      <c r="L419" s="14">
        <v>42.084780000000002</v>
      </c>
      <c r="M419" s="9">
        <v>45.237699999999997</v>
      </c>
      <c r="N419" s="9">
        <v>46.855420000000002</v>
      </c>
      <c r="O419" s="14">
        <v>42.254350000000002</v>
      </c>
      <c r="P419" s="9">
        <v>45.26878</v>
      </c>
      <c r="Q419" s="9">
        <v>46.88503</v>
      </c>
      <c r="R419" s="23">
        <v>29.511299999999999</v>
      </c>
      <c r="S419" s="8">
        <v>0.16957</v>
      </c>
      <c r="T419" s="9">
        <v>3.108E-2</v>
      </c>
      <c r="U419" s="24">
        <v>2.9610000000000001E-2</v>
      </c>
    </row>
    <row r="420" spans="1:21" ht="12" customHeight="1" x14ac:dyDescent="0.25">
      <c r="A420" s="5">
        <v>864</v>
      </c>
      <c r="B420" s="19" t="s">
        <v>219</v>
      </c>
      <c r="C420" s="19" t="s">
        <v>12</v>
      </c>
      <c r="D420" s="5" t="s">
        <v>220</v>
      </c>
      <c r="E420" s="6">
        <v>367037.38021969999</v>
      </c>
      <c r="F420" s="6">
        <v>6548625.7884275001</v>
      </c>
      <c r="G420" s="7" t="str">
        <f>HYPERLINK("https://minkarta.lantmateriet.se/?e=367037,3802197&amp;n=6548625,7884275&amp;z=12&amp;profile=flygbildmedgranser&amp;background=2&amp;boundaries=true","Visa")</f>
        <v>Visa</v>
      </c>
      <c r="H420" s="5" t="s">
        <v>14</v>
      </c>
      <c r="I420" s="8">
        <v>37.745130000000003</v>
      </c>
      <c r="J420" s="9">
        <v>39.784239999999997</v>
      </c>
      <c r="K420" s="9">
        <v>41.352989999999998</v>
      </c>
      <c r="L420" s="14">
        <v>38.659179999999999</v>
      </c>
      <c r="M420" s="9">
        <v>40.240760000000002</v>
      </c>
      <c r="N420" s="9">
        <v>41.858490000000003</v>
      </c>
      <c r="O420" s="14">
        <v>38.84357</v>
      </c>
      <c r="P420" s="9">
        <v>40.271850000000001</v>
      </c>
      <c r="Q420" s="9">
        <v>41.888089999999998</v>
      </c>
      <c r="R420" s="23">
        <v>29.076229999999999</v>
      </c>
      <c r="S420" s="8">
        <v>0.18439</v>
      </c>
      <c r="T420" s="9">
        <v>3.109E-2</v>
      </c>
      <c r="U420" s="24">
        <v>2.9600000000000001E-2</v>
      </c>
    </row>
    <row r="421" spans="1:21" ht="12" customHeight="1" x14ac:dyDescent="0.25">
      <c r="A421" s="5">
        <v>865</v>
      </c>
      <c r="B421" s="19" t="s">
        <v>219</v>
      </c>
      <c r="C421" s="19" t="s">
        <v>12</v>
      </c>
      <c r="D421" s="5" t="s">
        <v>220</v>
      </c>
      <c r="E421" s="6">
        <v>367034.02457567002</v>
      </c>
      <c r="F421" s="6">
        <v>6548621.4037217004</v>
      </c>
      <c r="G421" s="7" t="str">
        <f>HYPERLINK("https://minkarta.lantmateriet.se/?e=367034,02457567&amp;n=6548621,4037217&amp;z=12&amp;profile=flygbildmedgranser&amp;background=2&amp;boundaries=true","Visa")</f>
        <v>Visa</v>
      </c>
      <c r="H421" s="5" t="s">
        <v>16</v>
      </c>
      <c r="I421" s="8">
        <v>43.227370000000001</v>
      </c>
      <c r="J421" s="9">
        <v>46.547910000000002</v>
      </c>
      <c r="K421" s="9">
        <v>48.001869999999997</v>
      </c>
      <c r="L421" s="14">
        <v>44.137610000000002</v>
      </c>
      <c r="M421" s="9">
        <v>47.047409999999999</v>
      </c>
      <c r="N421" s="9">
        <v>50.518059999999998</v>
      </c>
      <c r="O421" s="14">
        <v>44.748150000000003</v>
      </c>
      <c r="P421" s="9">
        <v>48.032220000000002</v>
      </c>
      <c r="Q421" s="9">
        <v>50.886800000000001</v>
      </c>
      <c r="R421" s="23">
        <v>43.183500000000002</v>
      </c>
      <c r="S421" s="8">
        <v>0.61053999999999997</v>
      </c>
      <c r="T421" s="9">
        <v>0.98480999999999996</v>
      </c>
      <c r="U421" s="24">
        <v>0.36874000000000001</v>
      </c>
    </row>
    <row r="422" spans="1:21" ht="12" customHeight="1" x14ac:dyDescent="0.25">
      <c r="A422" s="5">
        <v>866</v>
      </c>
      <c r="B422" s="19" t="s">
        <v>219</v>
      </c>
      <c r="C422" s="19" t="s">
        <v>12</v>
      </c>
      <c r="D422" s="5" t="s">
        <v>220</v>
      </c>
      <c r="E422" s="6">
        <v>367036.21978097002</v>
      </c>
      <c r="F422" s="6">
        <v>6548616.3370767003</v>
      </c>
      <c r="G422" s="7" t="str">
        <f>HYPERLINK("https://minkarta.lantmateriet.se/?e=367036,21978097&amp;n=6548616,3370767&amp;z=12&amp;profile=flygbildmedgranser&amp;background=2&amp;boundaries=true","Visa")</f>
        <v>Visa</v>
      </c>
      <c r="H422" s="5" t="s">
        <v>15</v>
      </c>
      <c r="I422" s="8">
        <v>40.904400000000003</v>
      </c>
      <c r="J422" s="9">
        <v>44.659970000000001</v>
      </c>
      <c r="K422" s="9">
        <v>46.92747</v>
      </c>
      <c r="L422" s="14">
        <v>41.821489999999997</v>
      </c>
      <c r="M422" s="9">
        <v>45.319850000000002</v>
      </c>
      <c r="N422" s="9">
        <v>47.658140000000003</v>
      </c>
      <c r="O422" s="14">
        <v>42.685180000000003</v>
      </c>
      <c r="P422" s="9">
        <v>45.364780000000003</v>
      </c>
      <c r="Q422" s="9">
        <v>47.70093</v>
      </c>
      <c r="R422" s="23">
        <v>43.636699999999998</v>
      </c>
      <c r="S422" s="8">
        <v>0.86368999999999996</v>
      </c>
      <c r="T422" s="9">
        <v>4.4929999999999998E-2</v>
      </c>
      <c r="U422" s="24">
        <v>4.2790000000000002E-2</v>
      </c>
    </row>
    <row r="423" spans="1:21" ht="12" customHeight="1" x14ac:dyDescent="0.25">
      <c r="A423" s="5">
        <v>867</v>
      </c>
      <c r="B423" s="19" t="s">
        <v>219</v>
      </c>
      <c r="C423" s="19" t="s">
        <v>12</v>
      </c>
      <c r="D423" s="5" t="s">
        <v>220</v>
      </c>
      <c r="E423" s="6">
        <v>367039.19792472001</v>
      </c>
      <c r="F423" s="6">
        <v>6548617.6237692004</v>
      </c>
      <c r="G423" s="7" t="str">
        <f>HYPERLINK("https://minkarta.lantmateriet.se/?e=367039,19792472&amp;n=6548617,6237692&amp;z=12&amp;profile=flygbildmedgranser&amp;background=2&amp;boundaries=true","Visa")</f>
        <v>Visa</v>
      </c>
      <c r="H423" s="5" t="s">
        <v>13</v>
      </c>
      <c r="I423" s="8">
        <v>34.89996</v>
      </c>
      <c r="J423" s="9">
        <v>40.451749999999997</v>
      </c>
      <c r="K423" s="9">
        <v>42.020499999999998</v>
      </c>
      <c r="L423" s="14">
        <v>35.816310000000001</v>
      </c>
      <c r="M423" s="9">
        <v>40.908279999999998</v>
      </c>
      <c r="N423" s="9">
        <v>42.526000000000003</v>
      </c>
      <c r="O423" s="14">
        <v>36.22945</v>
      </c>
      <c r="P423" s="9">
        <v>40.939360000000001</v>
      </c>
      <c r="Q423" s="9">
        <v>42.555599999999998</v>
      </c>
      <c r="R423" s="23">
        <v>37.782409999999999</v>
      </c>
      <c r="S423" s="8">
        <v>0.41314000000000001</v>
      </c>
      <c r="T423" s="9">
        <v>3.108E-2</v>
      </c>
      <c r="U423" s="24">
        <v>2.9600000000000001E-2</v>
      </c>
    </row>
    <row r="424" spans="1:21" ht="12" customHeight="1" x14ac:dyDescent="0.25">
      <c r="A424" s="5">
        <v>868</v>
      </c>
      <c r="B424" s="19" t="s">
        <v>219</v>
      </c>
      <c r="C424" s="19" t="s">
        <v>12</v>
      </c>
      <c r="D424" s="5" t="s">
        <v>220</v>
      </c>
      <c r="E424" s="6">
        <v>367039.98642348999</v>
      </c>
      <c r="F424" s="6">
        <v>6548624.1002594</v>
      </c>
      <c r="G424" s="7" t="str">
        <f>HYPERLINK("https://minkarta.lantmateriet.se/?e=367039,98642349&amp;n=6548624,1002594&amp;z=12&amp;profile=flygbildmedgranser&amp;background=2&amp;boundaries=true","Visa")</f>
        <v>Visa</v>
      </c>
      <c r="H424" s="5" t="s">
        <v>13</v>
      </c>
      <c r="I424" s="8">
        <v>35.458559999999999</v>
      </c>
      <c r="J424" s="9">
        <v>38.742489999999997</v>
      </c>
      <c r="K424" s="9">
        <v>40.311239999999998</v>
      </c>
      <c r="L424" s="14">
        <v>36.360680000000002</v>
      </c>
      <c r="M424" s="9">
        <v>39.199019999999997</v>
      </c>
      <c r="N424" s="9">
        <v>40.816740000000003</v>
      </c>
      <c r="O424" s="14">
        <v>36.564160000000001</v>
      </c>
      <c r="P424" s="9">
        <v>39.2301</v>
      </c>
      <c r="Q424" s="9">
        <v>40.846339999999998</v>
      </c>
      <c r="R424" s="23">
        <v>26.862950000000001</v>
      </c>
      <c r="S424" s="8">
        <v>0.20347999999999999</v>
      </c>
      <c r="T424" s="9">
        <v>3.108E-2</v>
      </c>
      <c r="U424" s="24">
        <v>2.9600000000000001E-2</v>
      </c>
    </row>
    <row r="425" spans="1:21" ht="12" customHeight="1" x14ac:dyDescent="0.25">
      <c r="A425" s="5">
        <v>869</v>
      </c>
      <c r="B425" s="19" t="s">
        <v>221</v>
      </c>
      <c r="C425" s="19" t="s">
        <v>12</v>
      </c>
      <c r="D425" s="5" t="s">
        <v>222</v>
      </c>
      <c r="E425" s="6">
        <v>367076.67990259</v>
      </c>
      <c r="F425" s="6">
        <v>6548634.2201025002</v>
      </c>
      <c r="G425" s="7" t="str">
        <f>HYPERLINK("https://minkarta.lantmateriet.se/?e=367076,67990259&amp;n=6548634,2201025&amp;z=12&amp;profile=flygbildmedgranser&amp;background=2&amp;boundaries=true","Visa")</f>
        <v>Visa</v>
      </c>
      <c r="H425" s="5" t="s">
        <v>13</v>
      </c>
      <c r="I425" s="8">
        <v>36.09966</v>
      </c>
      <c r="J425" s="9">
        <v>35.092030000000001</v>
      </c>
      <c r="K425" s="9">
        <v>36.660780000000003</v>
      </c>
      <c r="L425" s="14">
        <v>37.01699</v>
      </c>
      <c r="M425" s="9">
        <v>35.548560000000002</v>
      </c>
      <c r="N425" s="9">
        <v>38.491790000000002</v>
      </c>
      <c r="O425" s="14">
        <v>37.385559999999998</v>
      </c>
      <c r="P425" s="9">
        <v>36.005949999999999</v>
      </c>
      <c r="Q425" s="9">
        <v>38.860529999999997</v>
      </c>
      <c r="R425" s="23">
        <v>36.005389999999998</v>
      </c>
      <c r="S425" s="8">
        <v>0.36857000000000001</v>
      </c>
      <c r="T425" s="9">
        <v>0.45739000000000002</v>
      </c>
      <c r="U425" s="24">
        <v>0.36874000000000001</v>
      </c>
    </row>
    <row r="426" spans="1:21" ht="12" customHeight="1" x14ac:dyDescent="0.25">
      <c r="A426" s="5">
        <v>870</v>
      </c>
      <c r="B426" s="19" t="s">
        <v>221</v>
      </c>
      <c r="C426" s="19" t="s">
        <v>12</v>
      </c>
      <c r="D426" s="5" t="s">
        <v>222</v>
      </c>
      <c r="E426" s="6">
        <v>367073.64589958999</v>
      </c>
      <c r="F426" s="6">
        <v>6548642.2794036996</v>
      </c>
      <c r="G426" s="7" t="str">
        <f>HYPERLINK("https://minkarta.lantmateriet.se/?e=367073,64589959&amp;n=6548642,2794037&amp;z=12&amp;profile=flygbildmedgranser&amp;background=2&amp;boundaries=true","Visa")</f>
        <v>Visa</v>
      </c>
      <c r="H426" s="5" t="s">
        <v>14</v>
      </c>
      <c r="I426" s="8">
        <v>39.924799999999998</v>
      </c>
      <c r="J426" s="9">
        <v>41.751919999999998</v>
      </c>
      <c r="K426" s="9">
        <v>43.32067</v>
      </c>
      <c r="L426" s="14">
        <v>40.843310000000002</v>
      </c>
      <c r="M426" s="9">
        <v>42.208449999999999</v>
      </c>
      <c r="N426" s="9">
        <v>44.152970000000003</v>
      </c>
      <c r="O426" s="14">
        <v>41.005200000000002</v>
      </c>
      <c r="P426" s="9">
        <v>42.239530000000002</v>
      </c>
      <c r="Q426" s="9">
        <v>44.521709999999999</v>
      </c>
      <c r="R426" s="23">
        <v>28.523129999999998</v>
      </c>
      <c r="S426" s="8">
        <v>0.16189000000000001</v>
      </c>
      <c r="T426" s="9">
        <v>3.108E-2</v>
      </c>
      <c r="U426" s="24">
        <v>0.36874000000000001</v>
      </c>
    </row>
    <row r="427" spans="1:21" ht="12" customHeight="1" x14ac:dyDescent="0.25">
      <c r="A427" s="5">
        <v>871</v>
      </c>
      <c r="B427" s="19" t="s">
        <v>221</v>
      </c>
      <c r="C427" s="19" t="s">
        <v>12</v>
      </c>
      <c r="D427" s="5" t="s">
        <v>222</v>
      </c>
      <c r="E427" s="6">
        <v>367069.05559941003</v>
      </c>
      <c r="F427" s="6">
        <v>6548639.3274013996</v>
      </c>
      <c r="G427" s="7" t="str">
        <f>HYPERLINK("https://minkarta.lantmateriet.se/?e=367069,05559941&amp;n=6548639,3274014&amp;z=12&amp;profile=flygbildmedgranser&amp;background=2&amp;boundaries=true","Visa")</f>
        <v>Visa</v>
      </c>
      <c r="H427" s="5" t="s">
        <v>16</v>
      </c>
      <c r="I427" s="8">
        <v>42.511839999999999</v>
      </c>
      <c r="J427" s="9">
        <v>46.826230000000002</v>
      </c>
      <c r="K427" s="9">
        <v>49.093730000000001</v>
      </c>
      <c r="L427" s="14">
        <v>43.418880000000001</v>
      </c>
      <c r="M427" s="9">
        <v>47.486109999999996</v>
      </c>
      <c r="N427" s="9">
        <v>49.824390000000001</v>
      </c>
      <c r="O427" s="14">
        <v>43.754429999999999</v>
      </c>
      <c r="P427" s="9">
        <v>47.531030000000001</v>
      </c>
      <c r="Q427" s="9">
        <v>49.867179999999998</v>
      </c>
      <c r="R427" s="23">
        <v>36.122450000000001</v>
      </c>
      <c r="S427" s="8">
        <v>0.33555000000000001</v>
      </c>
      <c r="T427" s="9">
        <v>4.4920000000000002E-2</v>
      </c>
      <c r="U427" s="24">
        <v>4.2790000000000002E-2</v>
      </c>
    </row>
    <row r="428" spans="1:21" ht="12" customHeight="1" x14ac:dyDescent="0.25">
      <c r="A428" s="5">
        <v>872</v>
      </c>
      <c r="B428" s="19" t="s">
        <v>221</v>
      </c>
      <c r="C428" s="19" t="s">
        <v>12</v>
      </c>
      <c r="D428" s="5" t="s">
        <v>222</v>
      </c>
      <c r="E428" s="6">
        <v>367066.29109925998</v>
      </c>
      <c r="F428" s="6">
        <v>6548632.0964003997</v>
      </c>
      <c r="G428" s="7" t="str">
        <f>HYPERLINK("https://minkarta.lantmateriet.se/?e=367066,29109926&amp;n=6548632,0964004&amp;z=12&amp;profile=flygbildmedgranser&amp;background=2&amp;boundaries=true","Visa")</f>
        <v>Visa</v>
      </c>
      <c r="H428" s="5" t="s">
        <v>16</v>
      </c>
      <c r="I428" s="8">
        <v>42.997579999999999</v>
      </c>
      <c r="J428" s="9">
        <v>44.202399999999997</v>
      </c>
      <c r="K428" s="9">
        <v>45.771149999999999</v>
      </c>
      <c r="L428" s="14">
        <v>43.915120000000002</v>
      </c>
      <c r="M428" s="9">
        <v>44.658929999999998</v>
      </c>
      <c r="N428" s="9">
        <v>46.276649999999997</v>
      </c>
      <c r="O428" s="14">
        <v>44.203479999999999</v>
      </c>
      <c r="P428" s="9">
        <v>44.690010000000001</v>
      </c>
      <c r="Q428" s="9">
        <v>46.306260000000002</v>
      </c>
      <c r="R428" s="23">
        <v>39.210769999999997</v>
      </c>
      <c r="S428" s="8">
        <v>0.28836000000000001</v>
      </c>
      <c r="T428" s="9">
        <v>3.108E-2</v>
      </c>
      <c r="U428" s="24">
        <v>2.9610000000000001E-2</v>
      </c>
    </row>
    <row r="429" spans="1:21" ht="12" customHeight="1" x14ac:dyDescent="0.25">
      <c r="A429" s="5">
        <v>873</v>
      </c>
      <c r="B429" s="19" t="s">
        <v>221</v>
      </c>
      <c r="C429" s="19" t="s">
        <v>12</v>
      </c>
      <c r="D429" s="5" t="s">
        <v>222</v>
      </c>
      <c r="E429" s="6">
        <v>367070.67710266</v>
      </c>
      <c r="F429" s="6">
        <v>6548627.4371002996</v>
      </c>
      <c r="G429" s="7" t="str">
        <f>HYPERLINK("https://minkarta.lantmateriet.se/?e=367070,67710266&amp;n=6548627,4371003&amp;z=12&amp;profile=flygbildmedgranser&amp;background=2&amp;boundaries=true","Visa")</f>
        <v>Visa</v>
      </c>
      <c r="H429" s="5" t="s">
        <v>15</v>
      </c>
      <c r="I429" s="8">
        <v>41.271479999999997</v>
      </c>
      <c r="J429" s="9">
        <v>43.560980000000001</v>
      </c>
      <c r="K429" s="9">
        <v>45.089559999999999</v>
      </c>
      <c r="L429" s="14">
        <v>42.185310000000001</v>
      </c>
      <c r="M429" s="9">
        <v>43.990090000000002</v>
      </c>
      <c r="N429" s="9">
        <v>45.831899999999997</v>
      </c>
      <c r="O429" s="14">
        <v>42.804819999999999</v>
      </c>
      <c r="P429" s="9">
        <v>44.018540000000002</v>
      </c>
      <c r="Q429" s="9">
        <v>46.527189999999997</v>
      </c>
      <c r="R429" s="23">
        <v>39.582299999999996</v>
      </c>
      <c r="S429" s="8">
        <v>0.61951000000000001</v>
      </c>
      <c r="T429" s="9">
        <v>2.845E-2</v>
      </c>
      <c r="U429" s="24">
        <v>0.69528999999999996</v>
      </c>
    </row>
    <row r="430" spans="1:21" ht="12" customHeight="1" x14ac:dyDescent="0.25">
      <c r="A430" s="5">
        <v>874</v>
      </c>
      <c r="B430" s="19" t="s">
        <v>223</v>
      </c>
      <c r="C430" s="19" t="s">
        <v>12</v>
      </c>
      <c r="D430" s="5" t="s">
        <v>224</v>
      </c>
      <c r="E430" s="6">
        <v>367030.46412008</v>
      </c>
      <c r="F430" s="6">
        <v>6548644.9829634</v>
      </c>
      <c r="G430" s="7" t="str">
        <f>HYPERLINK("https://minkarta.lantmateriet.se/?e=367030,46412008&amp;n=6548644,9829634&amp;z=12&amp;profile=flygbildmedgranser&amp;background=2&amp;boundaries=true","Visa")</f>
        <v>Visa</v>
      </c>
      <c r="H430" s="5" t="s">
        <v>16</v>
      </c>
      <c r="I430" s="8">
        <v>42.237920000000003</v>
      </c>
      <c r="J430" s="9">
        <v>44.467820000000003</v>
      </c>
      <c r="K430" s="9">
        <v>46.735320000000002</v>
      </c>
      <c r="L430" s="14">
        <v>43.139859999999999</v>
      </c>
      <c r="M430" s="9">
        <v>45.127699999999997</v>
      </c>
      <c r="N430" s="9">
        <v>47.465989999999998</v>
      </c>
      <c r="O430" s="14">
        <v>43.394100000000002</v>
      </c>
      <c r="P430" s="9">
        <v>45.164569999999998</v>
      </c>
      <c r="Q430" s="9">
        <v>47.500720000000001</v>
      </c>
      <c r="R430" s="23">
        <v>35.830109999999998</v>
      </c>
      <c r="S430" s="8">
        <v>0.25424000000000002</v>
      </c>
      <c r="T430" s="9">
        <v>3.687E-2</v>
      </c>
      <c r="U430" s="24">
        <v>3.4729999999999997E-2</v>
      </c>
    </row>
    <row r="431" spans="1:21" ht="12" customHeight="1" x14ac:dyDescent="0.25">
      <c r="A431" s="5">
        <v>875</v>
      </c>
      <c r="B431" s="19" t="s">
        <v>223</v>
      </c>
      <c r="C431" s="19" t="s">
        <v>12</v>
      </c>
      <c r="D431" s="5" t="s">
        <v>224</v>
      </c>
      <c r="E431" s="6">
        <v>367035.34503779002</v>
      </c>
      <c r="F431" s="6">
        <v>6548643.6666208003</v>
      </c>
      <c r="G431" s="7" t="str">
        <f>HYPERLINK("https://minkarta.lantmateriet.se/?e=367035,34503779&amp;n=6548643,6666208&amp;z=12&amp;profile=flygbildmedgranser&amp;background=2&amp;boundaries=true","Visa")</f>
        <v>Visa</v>
      </c>
      <c r="H431" s="5" t="s">
        <v>15</v>
      </c>
      <c r="I431" s="8">
        <v>40.105119999999999</v>
      </c>
      <c r="J431" s="9">
        <v>49.675249999999998</v>
      </c>
      <c r="K431" s="9">
        <v>51.129219999999997</v>
      </c>
      <c r="L431" s="14">
        <v>41.025889999999997</v>
      </c>
      <c r="M431" s="9">
        <v>50.174750000000003</v>
      </c>
      <c r="N431" s="9">
        <v>53.645409999999998</v>
      </c>
      <c r="O431" s="14">
        <v>41.297840000000001</v>
      </c>
      <c r="P431" s="9">
        <v>51.159570000000002</v>
      </c>
      <c r="Q431" s="9">
        <v>54.014139999999998</v>
      </c>
      <c r="R431" s="23">
        <v>35.346910000000001</v>
      </c>
      <c r="S431" s="8">
        <v>0.27195000000000003</v>
      </c>
      <c r="T431" s="9">
        <v>0.98482000000000003</v>
      </c>
      <c r="U431" s="24">
        <v>0.36873</v>
      </c>
    </row>
    <row r="432" spans="1:21" ht="12" customHeight="1" x14ac:dyDescent="0.25">
      <c r="A432" s="5">
        <v>876</v>
      </c>
      <c r="B432" s="19" t="s">
        <v>223</v>
      </c>
      <c r="C432" s="19" t="s">
        <v>12</v>
      </c>
      <c r="D432" s="5" t="s">
        <v>224</v>
      </c>
      <c r="E432" s="6">
        <v>367038.87688222999</v>
      </c>
      <c r="F432" s="6">
        <v>6548651.0225387001</v>
      </c>
      <c r="G432" s="7" t="str">
        <f>HYPERLINK("https://minkarta.lantmateriet.se/?e=367038,87688223&amp;n=6548651,0225387&amp;z=12&amp;profile=flygbildmedgranser&amp;background=2&amp;boundaries=true","Visa")</f>
        <v>Visa</v>
      </c>
      <c r="H432" s="5" t="s">
        <v>13</v>
      </c>
      <c r="I432" s="8">
        <v>35.781570000000002</v>
      </c>
      <c r="J432" s="9">
        <v>34.336880000000001</v>
      </c>
      <c r="K432" s="9">
        <v>35.905630000000002</v>
      </c>
      <c r="L432" s="14">
        <v>36.696939999999998</v>
      </c>
      <c r="M432" s="9">
        <v>34.793410000000002</v>
      </c>
      <c r="N432" s="9">
        <v>36.41113</v>
      </c>
      <c r="O432" s="14">
        <v>36.919069999999998</v>
      </c>
      <c r="P432" s="9">
        <v>34.824489999999997</v>
      </c>
      <c r="Q432" s="9">
        <v>36.440730000000002</v>
      </c>
      <c r="R432" s="23">
        <v>25.513359999999999</v>
      </c>
      <c r="S432" s="8">
        <v>0.22212999999999999</v>
      </c>
      <c r="T432" s="9">
        <v>3.108E-2</v>
      </c>
      <c r="U432" s="24">
        <v>2.9600000000000001E-2</v>
      </c>
    </row>
    <row r="433" spans="1:21" ht="12" customHeight="1" x14ac:dyDescent="0.25">
      <c r="A433" s="5">
        <v>877</v>
      </c>
      <c r="B433" s="19" t="s">
        <v>223</v>
      </c>
      <c r="C433" s="19" t="s">
        <v>12</v>
      </c>
      <c r="D433" s="5" t="s">
        <v>224</v>
      </c>
      <c r="E433" s="6">
        <v>367033.84696423</v>
      </c>
      <c r="F433" s="6">
        <v>6548657.0468832003</v>
      </c>
      <c r="G433" s="7" t="str">
        <f>HYPERLINK("https://minkarta.lantmateriet.se/?e=367033,84696423&amp;n=6548657,0468832&amp;z=12&amp;profile=flygbildmedgranser&amp;background=2&amp;boundaries=true","Visa")</f>
        <v>Visa</v>
      </c>
      <c r="H433" s="5" t="s">
        <v>14</v>
      </c>
      <c r="I433" s="8">
        <v>38.68815</v>
      </c>
      <c r="J433" s="9">
        <v>43.075600000000001</v>
      </c>
      <c r="K433" s="9">
        <v>44.644350000000003</v>
      </c>
      <c r="L433" s="14">
        <v>39.605809999999998</v>
      </c>
      <c r="M433" s="9">
        <v>43.532130000000002</v>
      </c>
      <c r="N433" s="9">
        <v>45.149850000000001</v>
      </c>
      <c r="O433" s="14">
        <v>39.821510000000004</v>
      </c>
      <c r="P433" s="9">
        <v>43.563209999999998</v>
      </c>
      <c r="Q433" s="9">
        <v>45.179450000000003</v>
      </c>
      <c r="R433" s="23">
        <v>32.570689999999999</v>
      </c>
      <c r="S433" s="8">
        <v>0.2157</v>
      </c>
      <c r="T433" s="9">
        <v>3.108E-2</v>
      </c>
      <c r="U433" s="24">
        <v>2.9600000000000001E-2</v>
      </c>
    </row>
    <row r="434" spans="1:21" ht="12" customHeight="1" x14ac:dyDescent="0.25">
      <c r="A434" s="5">
        <v>878</v>
      </c>
      <c r="B434" s="19" t="s">
        <v>223</v>
      </c>
      <c r="C434" s="19" t="s">
        <v>12</v>
      </c>
      <c r="D434" s="5" t="s">
        <v>224</v>
      </c>
      <c r="E434" s="6">
        <v>367030.57061981002</v>
      </c>
      <c r="F434" s="6">
        <v>6548651.7959650997</v>
      </c>
      <c r="G434" s="7" t="str">
        <f>HYPERLINK("https://minkarta.lantmateriet.se/?e=367030,57061981&amp;n=6548651,7959651&amp;z=12&amp;profile=flygbildmedgranser&amp;background=2&amp;boundaries=true","Visa")</f>
        <v>Visa</v>
      </c>
      <c r="H434" s="5" t="s">
        <v>16</v>
      </c>
      <c r="I434" s="8">
        <v>42.591949999999997</v>
      </c>
      <c r="J434" s="9">
        <v>45.088389999999997</v>
      </c>
      <c r="K434" s="9">
        <v>47.297840000000001</v>
      </c>
      <c r="L434" s="14">
        <v>43.493540000000003</v>
      </c>
      <c r="M434" s="9">
        <v>45.708629999999999</v>
      </c>
      <c r="N434" s="9">
        <v>48.047269999999997</v>
      </c>
      <c r="O434" s="14">
        <v>44.100349999999999</v>
      </c>
      <c r="P434" s="9">
        <v>45.749760000000002</v>
      </c>
      <c r="Q434" s="9">
        <v>48.089649999999999</v>
      </c>
      <c r="R434" s="23">
        <v>42.590359999999997</v>
      </c>
      <c r="S434" s="8">
        <v>0.60680999999999996</v>
      </c>
      <c r="T434" s="9">
        <v>4.113E-2</v>
      </c>
      <c r="U434" s="24">
        <v>4.2380000000000001E-2</v>
      </c>
    </row>
    <row r="435" spans="1:21" ht="12" customHeight="1" x14ac:dyDescent="0.25">
      <c r="A435" s="5">
        <v>879</v>
      </c>
      <c r="B435" s="19" t="s">
        <v>225</v>
      </c>
      <c r="C435" s="19" t="s">
        <v>12</v>
      </c>
      <c r="D435" s="5" t="s">
        <v>226</v>
      </c>
      <c r="E435" s="6">
        <v>367035.09344666998</v>
      </c>
      <c r="F435" s="6">
        <v>6548666.4986071</v>
      </c>
      <c r="G435" s="7" t="str">
        <f>HYPERLINK("https://minkarta.lantmateriet.se/?e=367035,09344667&amp;n=6548666,4986071&amp;z=12&amp;profile=flygbildmedgranser&amp;background=2&amp;boundaries=true","Visa")</f>
        <v>Visa</v>
      </c>
      <c r="H435" s="5" t="s">
        <v>15</v>
      </c>
      <c r="I435" s="8">
        <v>39.41133</v>
      </c>
      <c r="J435" s="9">
        <v>43.470680000000002</v>
      </c>
      <c r="K435" s="9">
        <v>44.924639999999997</v>
      </c>
      <c r="L435" s="14">
        <v>40.335529999999999</v>
      </c>
      <c r="M435" s="9">
        <v>43.970179999999999</v>
      </c>
      <c r="N435" s="9">
        <v>47.440829999999998</v>
      </c>
      <c r="O435" s="14">
        <v>41.355510000000002</v>
      </c>
      <c r="P435" s="9">
        <v>47.67286</v>
      </c>
      <c r="Q435" s="9">
        <v>47.809570000000001</v>
      </c>
      <c r="R435" s="23">
        <v>41.538939999999997</v>
      </c>
      <c r="S435" s="8">
        <v>1.0199800000000001</v>
      </c>
      <c r="T435" s="9">
        <v>3.70268</v>
      </c>
      <c r="U435" s="24">
        <v>0.36874000000000001</v>
      </c>
    </row>
    <row r="436" spans="1:21" ht="12" customHeight="1" x14ac:dyDescent="0.25">
      <c r="A436" s="5">
        <v>880</v>
      </c>
      <c r="B436" s="19" t="s">
        <v>225</v>
      </c>
      <c r="C436" s="19" t="s">
        <v>12</v>
      </c>
      <c r="D436" s="5" t="s">
        <v>226</v>
      </c>
      <c r="E436" s="6">
        <v>367042.19989597</v>
      </c>
      <c r="F436" s="6">
        <v>6548671.6369474996</v>
      </c>
      <c r="G436" s="7" t="str">
        <f>HYPERLINK("https://minkarta.lantmateriet.se/?e=367042,19989597&amp;n=6548671,6369475&amp;z=12&amp;profile=flygbildmedgranser&amp;background=2&amp;boundaries=true","Visa")</f>
        <v>Visa</v>
      </c>
      <c r="H436" s="5" t="s">
        <v>13</v>
      </c>
      <c r="I436" s="8">
        <v>34.841160000000002</v>
      </c>
      <c r="J436" s="9">
        <v>36.539009999999998</v>
      </c>
      <c r="K436" s="9">
        <v>38.107750000000003</v>
      </c>
      <c r="L436" s="14">
        <v>35.753</v>
      </c>
      <c r="M436" s="9">
        <v>36.995530000000002</v>
      </c>
      <c r="N436" s="9">
        <v>38.613250000000001</v>
      </c>
      <c r="O436" s="14">
        <v>36.048729999999999</v>
      </c>
      <c r="P436" s="9">
        <v>37.026620000000001</v>
      </c>
      <c r="Q436" s="9">
        <v>38.642859999999999</v>
      </c>
      <c r="R436" s="23">
        <v>33.180439999999997</v>
      </c>
      <c r="S436" s="8">
        <v>0.29572999999999999</v>
      </c>
      <c r="T436" s="9">
        <v>3.109E-2</v>
      </c>
      <c r="U436" s="24">
        <v>2.9610000000000001E-2</v>
      </c>
    </row>
    <row r="437" spans="1:21" ht="12" customHeight="1" x14ac:dyDescent="0.25">
      <c r="A437" s="5">
        <v>881</v>
      </c>
      <c r="B437" s="19" t="s">
        <v>225</v>
      </c>
      <c r="C437" s="19" t="s">
        <v>12</v>
      </c>
      <c r="D437" s="5" t="s">
        <v>226</v>
      </c>
      <c r="E437" s="6">
        <v>367033.92005478998</v>
      </c>
      <c r="F437" s="6">
        <v>6548674.5268968996</v>
      </c>
      <c r="G437" s="7" t="str">
        <f>HYPERLINK("https://minkarta.lantmateriet.se/?e=367033,92005479&amp;n=6548674,5268969&amp;z=12&amp;profile=flygbildmedgranser&amp;background=2&amp;boundaries=true","Visa")</f>
        <v>Visa</v>
      </c>
      <c r="H437" s="5" t="s">
        <v>14</v>
      </c>
      <c r="I437" s="8">
        <v>41.619030000000002</v>
      </c>
      <c r="J437" s="9">
        <v>46.357939999999999</v>
      </c>
      <c r="K437" s="9">
        <v>47.926690000000001</v>
      </c>
      <c r="L437" s="14">
        <v>42.502879999999998</v>
      </c>
      <c r="M437" s="9">
        <v>46.81447</v>
      </c>
      <c r="N437" s="9">
        <v>48.432189999999999</v>
      </c>
      <c r="O437" s="14">
        <v>42.642110000000002</v>
      </c>
      <c r="P437" s="9">
        <v>46.845550000000003</v>
      </c>
      <c r="Q437" s="9">
        <v>48.461790000000001</v>
      </c>
      <c r="R437" s="23">
        <v>27.23762</v>
      </c>
      <c r="S437" s="8">
        <v>0.13922999999999999</v>
      </c>
      <c r="T437" s="9">
        <v>3.108E-2</v>
      </c>
      <c r="U437" s="24">
        <v>2.9600000000000001E-2</v>
      </c>
    </row>
    <row r="438" spans="1:21" ht="12" customHeight="1" x14ac:dyDescent="0.25">
      <c r="A438" s="5">
        <v>882</v>
      </c>
      <c r="B438" s="19" t="s">
        <v>225</v>
      </c>
      <c r="C438" s="19" t="s">
        <v>12</v>
      </c>
      <c r="D438" s="5" t="s">
        <v>226</v>
      </c>
      <c r="E438" s="6">
        <v>367026.81360623002</v>
      </c>
      <c r="F438" s="6">
        <v>6548669.3885551002</v>
      </c>
      <c r="G438" s="7" t="str">
        <f>HYPERLINK("https://minkarta.lantmateriet.se/?e=367026,81360623&amp;n=6548669,3885551&amp;z=12&amp;profile=flygbildmedgranser&amp;background=2&amp;boundaries=true","Visa")</f>
        <v>Visa</v>
      </c>
      <c r="H438" s="5" t="s">
        <v>16</v>
      </c>
      <c r="I438" s="8">
        <v>41.784390000000002</v>
      </c>
      <c r="J438" s="9">
        <v>44.101860000000002</v>
      </c>
      <c r="K438" s="9">
        <v>45.79289</v>
      </c>
      <c r="L438" s="14">
        <v>42.700980000000001</v>
      </c>
      <c r="M438" s="9">
        <v>44.558390000000003</v>
      </c>
      <c r="N438" s="9">
        <v>47.5458</v>
      </c>
      <c r="O438" s="14">
        <v>42.981699999999996</v>
      </c>
      <c r="P438" s="9">
        <v>45.059959999999997</v>
      </c>
      <c r="Q438" s="9">
        <v>47.914529999999999</v>
      </c>
      <c r="R438" s="23">
        <v>35.40569</v>
      </c>
      <c r="S438" s="8">
        <v>0.28072000000000003</v>
      </c>
      <c r="T438" s="9">
        <v>0.50156999999999996</v>
      </c>
      <c r="U438" s="24">
        <v>0.36873</v>
      </c>
    </row>
    <row r="439" spans="1:21" ht="12" customHeight="1" x14ac:dyDescent="0.25">
      <c r="A439" s="5">
        <v>883</v>
      </c>
      <c r="B439" s="19" t="s">
        <v>227</v>
      </c>
      <c r="C439" s="19" t="s">
        <v>12</v>
      </c>
      <c r="D439" s="5" t="s">
        <v>228</v>
      </c>
      <c r="E439" s="6">
        <v>367028.03782465</v>
      </c>
      <c r="F439" s="6">
        <v>6548689.6273726998</v>
      </c>
      <c r="G439" s="7" t="str">
        <f>HYPERLINK("https://minkarta.lantmateriet.se/?e=367028,03782465&amp;n=6548689,6273727&amp;z=12&amp;profile=flygbildmedgranser&amp;background=2&amp;boundaries=true","Visa")</f>
        <v>Visa</v>
      </c>
      <c r="H439" s="5" t="s">
        <v>8</v>
      </c>
      <c r="I439" s="8">
        <v>39.41037</v>
      </c>
      <c r="J439" s="9">
        <v>43.635039999999996</v>
      </c>
      <c r="K439" s="9">
        <v>45.84449</v>
      </c>
      <c r="L439" s="14">
        <v>40.329360000000001</v>
      </c>
      <c r="M439" s="9">
        <v>44.242870000000003</v>
      </c>
      <c r="N439" s="9">
        <v>47.098869999999998</v>
      </c>
      <c r="O439" s="14">
        <v>41.357939999999999</v>
      </c>
      <c r="P439" s="9">
        <v>46.809010000000001</v>
      </c>
      <c r="Q439" s="9">
        <v>47.467610000000001</v>
      </c>
      <c r="R439" s="23">
        <v>40.919220000000003</v>
      </c>
      <c r="S439" s="8">
        <v>1.02858</v>
      </c>
      <c r="T439" s="9">
        <v>2.5661399999999999</v>
      </c>
      <c r="U439" s="24">
        <v>0.36874000000000001</v>
      </c>
    </row>
    <row r="440" spans="1:21" ht="12" customHeight="1" x14ac:dyDescent="0.25">
      <c r="A440" s="5">
        <v>884</v>
      </c>
      <c r="B440" s="19" t="s">
        <v>227</v>
      </c>
      <c r="C440" s="19" t="s">
        <v>12</v>
      </c>
      <c r="D440" s="5" t="s">
        <v>228</v>
      </c>
      <c r="E440" s="6">
        <v>367034.66182411998</v>
      </c>
      <c r="F440" s="6">
        <v>6548693.4513723003</v>
      </c>
      <c r="G440" s="7" t="str">
        <f>HYPERLINK("https://minkarta.lantmateriet.se/?e=367034,66182412&amp;n=6548693,4513723&amp;z=12&amp;profile=flygbildmedgranser&amp;background=2&amp;boundaries=true","Visa")</f>
        <v>Visa</v>
      </c>
      <c r="H440" s="5" t="s">
        <v>8</v>
      </c>
      <c r="I440" s="8">
        <v>38.902180000000001</v>
      </c>
      <c r="J440" s="9">
        <v>43.441020000000002</v>
      </c>
      <c r="K440" s="9">
        <v>45.650469999999999</v>
      </c>
      <c r="L440" s="14">
        <v>39.817990000000002</v>
      </c>
      <c r="M440" s="9">
        <v>44.061259999999997</v>
      </c>
      <c r="N440" s="9">
        <v>46.399909999999998</v>
      </c>
      <c r="O440" s="14">
        <v>40.778230000000001</v>
      </c>
      <c r="P440" s="9">
        <v>46.040500000000002</v>
      </c>
      <c r="Q440" s="9">
        <v>46.672719999999998</v>
      </c>
      <c r="R440" s="23">
        <v>39.826300000000003</v>
      </c>
      <c r="S440" s="8">
        <v>0.96023999999999998</v>
      </c>
      <c r="T440" s="9">
        <v>1.9792400000000001</v>
      </c>
      <c r="U440" s="24">
        <v>0.27281</v>
      </c>
    </row>
    <row r="441" spans="1:21" ht="12" customHeight="1" x14ac:dyDescent="0.25">
      <c r="A441" s="5">
        <v>886</v>
      </c>
      <c r="B441" s="19" t="s">
        <v>227</v>
      </c>
      <c r="C441" s="19" t="s">
        <v>12</v>
      </c>
      <c r="D441" s="5" t="s">
        <v>228</v>
      </c>
      <c r="E441" s="6">
        <v>367029.50967673998</v>
      </c>
      <c r="F441" s="6">
        <v>6548699.4366308004</v>
      </c>
      <c r="G441" s="7" t="str">
        <f>HYPERLINK("https://minkarta.lantmateriet.se/?e=367029,50967674&amp;n=6548699,4366308&amp;z=12&amp;profile=flygbildmedgranser&amp;background=2&amp;boundaries=true","Visa")</f>
        <v>Visa</v>
      </c>
      <c r="H441" s="5" t="s">
        <v>10</v>
      </c>
      <c r="I441" s="8">
        <v>39.736960000000003</v>
      </c>
      <c r="J441" s="9">
        <v>43.098129999999998</v>
      </c>
      <c r="K441" s="9">
        <v>44.666879999999999</v>
      </c>
      <c r="L441" s="14">
        <v>40.640129999999999</v>
      </c>
      <c r="M441" s="9">
        <v>43.554659999999998</v>
      </c>
      <c r="N441" s="9">
        <v>45.172379999999997</v>
      </c>
      <c r="O441" s="14">
        <v>40.776560000000003</v>
      </c>
      <c r="P441" s="9">
        <v>43.585740000000001</v>
      </c>
      <c r="Q441" s="9">
        <v>45.201979999999999</v>
      </c>
      <c r="R441" s="23">
        <v>29.34815</v>
      </c>
      <c r="S441" s="8">
        <v>0.13643</v>
      </c>
      <c r="T441" s="9">
        <v>3.108E-2</v>
      </c>
      <c r="U441" s="24">
        <v>2.9600000000000001E-2</v>
      </c>
    </row>
    <row r="442" spans="1:21" ht="12" customHeight="1" x14ac:dyDescent="0.25">
      <c r="A442" s="5">
        <v>887</v>
      </c>
      <c r="B442" s="19" t="s">
        <v>227</v>
      </c>
      <c r="C442" s="19" t="s">
        <v>12</v>
      </c>
      <c r="D442" s="5" t="s">
        <v>228</v>
      </c>
      <c r="E442" s="6">
        <v>367022.66817726003</v>
      </c>
      <c r="F442" s="6">
        <v>6548695.9176311996</v>
      </c>
      <c r="G442" s="7" t="str">
        <f>HYPERLINK("https://minkarta.lantmateriet.se/?e=367022,66817726&amp;n=6548695,9176312&amp;z=12&amp;profile=flygbildmedgranser&amp;background=2&amp;boundaries=true","Visa")</f>
        <v>Visa</v>
      </c>
      <c r="H442" s="5" t="s">
        <v>10</v>
      </c>
      <c r="I442" s="8">
        <v>40.382480000000001</v>
      </c>
      <c r="J442" s="9">
        <v>44.468519999999998</v>
      </c>
      <c r="K442" s="9">
        <v>46.677970000000002</v>
      </c>
      <c r="L442" s="14">
        <v>41.285809999999998</v>
      </c>
      <c r="M442" s="9">
        <v>45.088760000000001</v>
      </c>
      <c r="N442" s="9">
        <v>47.427399999999999</v>
      </c>
      <c r="O442" s="14">
        <v>41.515880000000003</v>
      </c>
      <c r="P442" s="9">
        <v>45.129890000000003</v>
      </c>
      <c r="Q442" s="9">
        <v>47.46978</v>
      </c>
      <c r="R442" s="23">
        <v>33.621879999999997</v>
      </c>
      <c r="S442" s="8">
        <v>0.23007</v>
      </c>
      <c r="T442" s="9">
        <v>4.113E-2</v>
      </c>
      <c r="U442" s="24">
        <v>4.2380000000000001E-2</v>
      </c>
    </row>
    <row r="443" spans="1:21" ht="12" customHeight="1" x14ac:dyDescent="0.25">
      <c r="A443" s="5">
        <v>888</v>
      </c>
      <c r="B443" s="19" t="s">
        <v>227</v>
      </c>
      <c r="C443" s="19" t="s">
        <v>12</v>
      </c>
      <c r="D443" s="5" t="s">
        <v>228</v>
      </c>
      <c r="E443" s="6">
        <v>367021.91237139999</v>
      </c>
      <c r="F443" s="6">
        <v>6548690.3076788001</v>
      </c>
      <c r="G443" s="7" t="str">
        <f>HYPERLINK("https://minkarta.lantmateriet.se/?e=367021,9123714&amp;n=6548690,3076788&amp;z=12&amp;profile=flygbildmedgranser&amp;background=2&amp;boundaries=true","Visa")</f>
        <v>Visa</v>
      </c>
      <c r="H443" s="5" t="s">
        <v>11</v>
      </c>
      <c r="I443" s="8">
        <v>41.575249999999997</v>
      </c>
      <c r="J443" s="9">
        <v>44.729190000000003</v>
      </c>
      <c r="K443" s="9">
        <v>46.938639999999999</v>
      </c>
      <c r="L443" s="14">
        <v>42.501060000000003</v>
      </c>
      <c r="M443" s="9">
        <v>45.349429999999998</v>
      </c>
      <c r="N443" s="9">
        <v>47.688070000000003</v>
      </c>
      <c r="O443" s="14">
        <v>43.248359999999998</v>
      </c>
      <c r="P443" s="9">
        <v>46.600149999999999</v>
      </c>
      <c r="Q443" s="9">
        <v>47.730449999999998</v>
      </c>
      <c r="R443" s="23">
        <v>40.397329999999997</v>
      </c>
      <c r="S443" s="8">
        <v>0.74729999999999996</v>
      </c>
      <c r="T443" s="9">
        <v>1.2507200000000001</v>
      </c>
      <c r="U443" s="24">
        <v>4.2380000000000001E-2</v>
      </c>
    </row>
    <row r="444" spans="1:21" ht="12" customHeight="1" x14ac:dyDescent="0.25">
      <c r="A444" s="5">
        <v>889</v>
      </c>
      <c r="B444" s="19" t="s">
        <v>229</v>
      </c>
      <c r="C444" s="19" t="s">
        <v>12</v>
      </c>
      <c r="D444" s="5" t="s">
        <v>230</v>
      </c>
      <c r="E444" s="6">
        <v>367050.70902210998</v>
      </c>
      <c r="F444" s="6">
        <v>6548562.4379559997</v>
      </c>
      <c r="G444" s="7" t="str">
        <f>HYPERLINK("https://minkarta.lantmateriet.se/?e=367050,70902211&amp;n=6548562,437956&amp;z=12&amp;profile=flygbildmedgranser&amp;background=2&amp;boundaries=true","Visa")</f>
        <v>Visa</v>
      </c>
      <c r="H444" s="5" t="s">
        <v>15</v>
      </c>
      <c r="I444" s="8">
        <v>42.020310000000002</v>
      </c>
      <c r="J444" s="9">
        <v>49.952240000000003</v>
      </c>
      <c r="K444" s="9">
        <v>51.406210000000002</v>
      </c>
      <c r="L444" s="14">
        <v>42.944290000000002</v>
      </c>
      <c r="M444" s="9">
        <v>50.451740000000001</v>
      </c>
      <c r="N444" s="9">
        <v>53.922400000000003</v>
      </c>
      <c r="O444" s="14">
        <v>43.734029999999997</v>
      </c>
      <c r="P444" s="9">
        <v>51.43656</v>
      </c>
      <c r="Q444" s="9">
        <v>54.291130000000003</v>
      </c>
      <c r="R444" s="23">
        <v>42.127330000000001</v>
      </c>
      <c r="S444" s="8">
        <v>0.78974</v>
      </c>
      <c r="T444" s="9">
        <v>0.98482000000000003</v>
      </c>
      <c r="U444" s="24">
        <v>0.36873</v>
      </c>
    </row>
    <row r="445" spans="1:21" ht="12" customHeight="1" x14ac:dyDescent="0.25">
      <c r="A445" s="5">
        <v>890</v>
      </c>
      <c r="B445" s="19" t="s">
        <v>229</v>
      </c>
      <c r="C445" s="19" t="s">
        <v>12</v>
      </c>
      <c r="D445" s="5" t="s">
        <v>230</v>
      </c>
      <c r="E445" s="6">
        <v>367056.03354724997</v>
      </c>
      <c r="F445" s="6">
        <v>6548564.1250238996</v>
      </c>
      <c r="G445" s="7" t="str">
        <f>HYPERLINK("https://minkarta.lantmateriet.se/?e=367056,03354725&amp;n=6548564,1250239&amp;z=12&amp;profile=flygbildmedgranser&amp;background=2&amp;boundaries=true","Visa")</f>
        <v>Visa</v>
      </c>
      <c r="H445" s="5" t="s">
        <v>13</v>
      </c>
      <c r="I445" s="8">
        <v>35.368099999999998</v>
      </c>
      <c r="J445" s="9">
        <v>44.734610000000004</v>
      </c>
      <c r="K445" s="9">
        <v>46.188580000000002</v>
      </c>
      <c r="L445" s="14">
        <v>36.308010000000003</v>
      </c>
      <c r="M445" s="9">
        <v>45.234110000000001</v>
      </c>
      <c r="N445" s="9">
        <v>48.704770000000003</v>
      </c>
      <c r="O445" s="14">
        <v>36.935310000000001</v>
      </c>
      <c r="P445" s="9">
        <v>46.21893</v>
      </c>
      <c r="Q445" s="9">
        <v>49.073500000000003</v>
      </c>
      <c r="R445" s="23">
        <v>39.647539999999999</v>
      </c>
      <c r="S445" s="8">
        <v>0.62729999999999997</v>
      </c>
      <c r="T445" s="9">
        <v>0.98482000000000003</v>
      </c>
      <c r="U445" s="24">
        <v>0.36873</v>
      </c>
    </row>
    <row r="446" spans="1:21" ht="12" customHeight="1" x14ac:dyDescent="0.25">
      <c r="A446" s="5">
        <v>891</v>
      </c>
      <c r="B446" s="19" t="s">
        <v>229</v>
      </c>
      <c r="C446" s="19" t="s">
        <v>12</v>
      </c>
      <c r="D446" s="5" t="s">
        <v>230</v>
      </c>
      <c r="E446" s="6">
        <v>367054.89253511</v>
      </c>
      <c r="F446" s="6">
        <v>6548569.9000305999</v>
      </c>
      <c r="G446" s="7" t="str">
        <f>HYPERLINK("https://minkarta.lantmateriet.se/?e=367054,89253511&amp;n=6548569,9000306&amp;z=12&amp;profile=flygbildmedgranser&amp;background=2&amp;boundaries=true","Visa")</f>
        <v>Visa</v>
      </c>
      <c r="H446" s="5" t="s">
        <v>14</v>
      </c>
      <c r="I446" s="8">
        <v>36.275880000000001</v>
      </c>
      <c r="J446" s="9">
        <v>39.719540000000002</v>
      </c>
      <c r="K446" s="9">
        <v>41.288290000000003</v>
      </c>
      <c r="L446" s="14">
        <v>37.19294</v>
      </c>
      <c r="M446" s="9">
        <v>40.176070000000003</v>
      </c>
      <c r="N446" s="9">
        <v>41.793790000000001</v>
      </c>
      <c r="O446" s="14">
        <v>37.482579999999999</v>
      </c>
      <c r="P446" s="9">
        <v>40.207149999999999</v>
      </c>
      <c r="Q446" s="9">
        <v>41.823390000000003</v>
      </c>
      <c r="R446" s="23">
        <v>32.958370000000002</v>
      </c>
      <c r="S446" s="8">
        <v>0.28964000000000001</v>
      </c>
      <c r="T446" s="9">
        <v>3.108E-2</v>
      </c>
      <c r="U446" s="24">
        <v>2.9600000000000001E-2</v>
      </c>
    </row>
    <row r="447" spans="1:21" ht="12" customHeight="1" x14ac:dyDescent="0.25">
      <c r="A447" s="5">
        <v>892</v>
      </c>
      <c r="B447" s="19" t="s">
        <v>229</v>
      </c>
      <c r="C447" s="19" t="s">
        <v>12</v>
      </c>
      <c r="D447" s="5" t="s">
        <v>230</v>
      </c>
      <c r="E447" s="6">
        <v>367050.09747742</v>
      </c>
      <c r="F447" s="6">
        <v>6548569.3255487997</v>
      </c>
      <c r="G447" s="7" t="str">
        <f>HYPERLINK("https://minkarta.lantmateriet.se/?e=367050,09747742&amp;n=6548569,3255488&amp;z=12&amp;profile=flygbildmedgranser&amp;background=2&amp;boundaries=true","Visa")</f>
        <v>Visa</v>
      </c>
      <c r="H447" s="5" t="s">
        <v>14</v>
      </c>
      <c r="I447" s="8">
        <v>36.229199999999999</v>
      </c>
      <c r="J447" s="9">
        <v>44.320030000000003</v>
      </c>
      <c r="K447" s="9">
        <v>45.888779999999997</v>
      </c>
      <c r="L447" s="14">
        <v>37.142299999999999</v>
      </c>
      <c r="M447" s="9">
        <v>44.776560000000003</v>
      </c>
      <c r="N447" s="9">
        <v>46.394280000000002</v>
      </c>
      <c r="O447" s="14">
        <v>37.458649999999999</v>
      </c>
      <c r="P447" s="9">
        <v>44.807639999999999</v>
      </c>
      <c r="Q447" s="9">
        <v>46.423879999999997</v>
      </c>
      <c r="R447" s="23">
        <v>35.386299999999999</v>
      </c>
      <c r="S447" s="8">
        <v>0.31635000000000002</v>
      </c>
      <c r="T447" s="9">
        <v>3.108E-2</v>
      </c>
      <c r="U447" s="24">
        <v>2.9600000000000001E-2</v>
      </c>
    </row>
    <row r="448" spans="1:21" ht="12" customHeight="1" x14ac:dyDescent="0.25">
      <c r="A448" s="5">
        <v>893</v>
      </c>
      <c r="B448" s="19" t="s">
        <v>229</v>
      </c>
      <c r="C448" s="19" t="s">
        <v>12</v>
      </c>
      <c r="D448" s="5" t="s">
        <v>230</v>
      </c>
      <c r="E448" s="6">
        <v>367047.28845489002</v>
      </c>
      <c r="F448" s="6">
        <v>6548566.8534805998</v>
      </c>
      <c r="G448" s="7" t="str">
        <f>HYPERLINK("https://minkarta.lantmateriet.se/?e=367047,28845489&amp;n=6548566,8534806&amp;z=12&amp;profile=flygbildmedgranser&amp;background=2&amp;boundaries=true","Visa")</f>
        <v>Visa</v>
      </c>
      <c r="H448" s="5" t="s">
        <v>16</v>
      </c>
      <c r="I448" s="8">
        <v>41.767359999999996</v>
      </c>
      <c r="J448" s="9">
        <v>44.722819999999999</v>
      </c>
      <c r="K448" s="9">
        <v>46.291559999999997</v>
      </c>
      <c r="L448" s="14">
        <v>42.689300000000003</v>
      </c>
      <c r="M448" s="9">
        <v>45.179340000000003</v>
      </c>
      <c r="N448" s="9">
        <v>46.797069999999998</v>
      </c>
      <c r="O448" s="14">
        <v>43.110019999999999</v>
      </c>
      <c r="P448" s="9">
        <v>45.210430000000002</v>
      </c>
      <c r="Q448" s="9">
        <v>46.82667</v>
      </c>
      <c r="R448" s="23">
        <v>42.701059999999998</v>
      </c>
      <c r="S448" s="8">
        <v>0.42071999999999998</v>
      </c>
      <c r="T448" s="9">
        <v>3.109E-2</v>
      </c>
      <c r="U448" s="24">
        <v>2.9600000000000001E-2</v>
      </c>
    </row>
    <row r="449" spans="1:21" ht="12" customHeight="1" x14ac:dyDescent="0.25">
      <c r="A449" s="5">
        <v>894</v>
      </c>
      <c r="B449" s="19" t="s">
        <v>231</v>
      </c>
      <c r="C449" s="19" t="s">
        <v>12</v>
      </c>
      <c r="D449" s="5" t="s">
        <v>232</v>
      </c>
      <c r="E449" s="6">
        <v>367022.04415083001</v>
      </c>
      <c r="F449" s="6">
        <v>6548570.2457681997</v>
      </c>
      <c r="G449" s="7" t="str">
        <f>HYPERLINK("https://minkarta.lantmateriet.se/?e=367022,04415083&amp;n=6548570,2457682&amp;z=12&amp;profile=flygbildmedgranser&amp;background=2&amp;boundaries=true","Visa")</f>
        <v>Visa</v>
      </c>
      <c r="H449" s="5" t="s">
        <v>14</v>
      </c>
      <c r="I449" s="8">
        <v>38.8506</v>
      </c>
      <c r="J449" s="9">
        <v>44.086739999999999</v>
      </c>
      <c r="K449" s="9">
        <v>45.65549</v>
      </c>
      <c r="L449" s="14">
        <v>39.761839999999999</v>
      </c>
      <c r="M449" s="9">
        <v>44.54327</v>
      </c>
      <c r="N449" s="9">
        <v>46.160989999999998</v>
      </c>
      <c r="O449" s="14">
        <v>39.97616</v>
      </c>
      <c r="P449" s="9">
        <v>44.574350000000003</v>
      </c>
      <c r="Q449" s="9">
        <v>46.19059</v>
      </c>
      <c r="R449" s="23">
        <v>34.642060000000001</v>
      </c>
      <c r="S449" s="8">
        <v>0.21432000000000001</v>
      </c>
      <c r="T449" s="9">
        <v>3.108E-2</v>
      </c>
      <c r="U449" s="24">
        <v>2.9600000000000001E-2</v>
      </c>
    </row>
    <row r="450" spans="1:21" ht="12" customHeight="1" x14ac:dyDescent="0.25">
      <c r="A450" s="5">
        <v>895</v>
      </c>
      <c r="B450" s="19" t="s">
        <v>231</v>
      </c>
      <c r="C450" s="19" t="s">
        <v>12</v>
      </c>
      <c r="D450" s="5" t="s">
        <v>232</v>
      </c>
      <c r="E450" s="6">
        <v>367018.31371363002</v>
      </c>
      <c r="F450" s="6">
        <v>6548566.2820531996</v>
      </c>
      <c r="G450" s="7" t="str">
        <f>HYPERLINK("https://minkarta.lantmateriet.se/?e=367018,31371363&amp;n=6548566,2820532&amp;z=12&amp;profile=flygbildmedgranser&amp;background=2&amp;boundaries=true","Visa")</f>
        <v>Visa</v>
      </c>
      <c r="H450" s="5" t="s">
        <v>16</v>
      </c>
      <c r="I450" s="8">
        <v>44.254809999999999</v>
      </c>
      <c r="J450" s="9">
        <v>52.891509999999997</v>
      </c>
      <c r="K450" s="9">
        <v>54.345469999999999</v>
      </c>
      <c r="L450" s="14">
        <v>45.167830000000002</v>
      </c>
      <c r="M450" s="9">
        <v>53.391010000000001</v>
      </c>
      <c r="N450" s="9">
        <v>56.861660000000001</v>
      </c>
      <c r="O450" s="14">
        <v>45.859780000000001</v>
      </c>
      <c r="P450" s="9">
        <v>54.489370000000001</v>
      </c>
      <c r="Q450" s="9">
        <v>57.343940000000003</v>
      </c>
      <c r="R450" s="23">
        <v>43.092390000000002</v>
      </c>
      <c r="S450" s="8">
        <v>0.69194999999999995</v>
      </c>
      <c r="T450" s="9">
        <v>1.09836</v>
      </c>
      <c r="U450" s="24">
        <v>0.48227999999999999</v>
      </c>
    </row>
    <row r="451" spans="1:21" ht="12" customHeight="1" x14ac:dyDescent="0.25">
      <c r="A451" s="5">
        <v>896</v>
      </c>
      <c r="B451" s="19" t="s">
        <v>231</v>
      </c>
      <c r="C451" s="19" t="s">
        <v>12</v>
      </c>
      <c r="D451" s="5" t="s">
        <v>232</v>
      </c>
      <c r="E451" s="6">
        <v>367020.09344062</v>
      </c>
      <c r="F451" s="6">
        <v>6548561.1317165997</v>
      </c>
      <c r="G451" s="7" t="str">
        <f>HYPERLINK("https://minkarta.lantmateriet.se/?e=367020,09344062&amp;n=6548561,1317166&amp;z=12&amp;profile=flygbildmedgranser&amp;background=2&amp;boundaries=true","Visa")</f>
        <v>Visa</v>
      </c>
      <c r="H451" s="5" t="s">
        <v>15</v>
      </c>
      <c r="I451" s="8">
        <v>43.80677</v>
      </c>
      <c r="J451" s="9">
        <v>53.085129999999999</v>
      </c>
      <c r="K451" s="9">
        <v>54.539099999999998</v>
      </c>
      <c r="L451" s="14">
        <v>44.734439999999999</v>
      </c>
      <c r="M451" s="9">
        <v>53.584629999999997</v>
      </c>
      <c r="N451" s="9">
        <v>57.055289999999999</v>
      </c>
      <c r="O451" s="14">
        <v>45.65784</v>
      </c>
      <c r="P451" s="9">
        <v>54.569450000000003</v>
      </c>
      <c r="Q451" s="9">
        <v>57.424019999999999</v>
      </c>
      <c r="R451" s="23">
        <v>42.950479999999999</v>
      </c>
      <c r="S451" s="8">
        <v>0.9234</v>
      </c>
      <c r="T451" s="9">
        <v>0.98482000000000003</v>
      </c>
      <c r="U451" s="24">
        <v>0.36873</v>
      </c>
    </row>
    <row r="452" spans="1:21" ht="12" customHeight="1" x14ac:dyDescent="0.25">
      <c r="A452" s="5">
        <v>897</v>
      </c>
      <c r="B452" s="19" t="s">
        <v>231</v>
      </c>
      <c r="C452" s="19" t="s">
        <v>12</v>
      </c>
      <c r="D452" s="5" t="s">
        <v>232</v>
      </c>
      <c r="E452" s="6">
        <v>367023.13724334002</v>
      </c>
      <c r="F452" s="6">
        <v>6548561.8757466003</v>
      </c>
      <c r="G452" s="7" t="str">
        <f>HYPERLINK("https://minkarta.lantmateriet.se/?e=367023,13724334&amp;n=6548561,8757466&amp;z=12&amp;profile=flygbildmedgranser&amp;background=2&amp;boundaries=true","Visa")</f>
        <v>Visa</v>
      </c>
      <c r="H452" s="5" t="s">
        <v>13</v>
      </c>
      <c r="I452" s="8">
        <v>35.619759999999999</v>
      </c>
      <c r="J452" s="9">
        <v>39.694110000000002</v>
      </c>
      <c r="K452" s="9">
        <v>41.14808</v>
      </c>
      <c r="L452" s="14">
        <v>36.549019999999999</v>
      </c>
      <c r="M452" s="9">
        <v>40.19361</v>
      </c>
      <c r="N452" s="9">
        <v>43.664259999999999</v>
      </c>
      <c r="O452" s="14">
        <v>36.973669999999998</v>
      </c>
      <c r="P452" s="9">
        <v>41.178420000000003</v>
      </c>
      <c r="Q452" s="9">
        <v>44.033000000000001</v>
      </c>
      <c r="R452" s="23">
        <v>38.052070000000001</v>
      </c>
      <c r="S452" s="8">
        <v>0.42465000000000003</v>
      </c>
      <c r="T452" s="9">
        <v>0.98480999999999996</v>
      </c>
      <c r="U452" s="24">
        <v>0.36874000000000001</v>
      </c>
    </row>
    <row r="453" spans="1:21" ht="12" customHeight="1" x14ac:dyDescent="0.25">
      <c r="A453" s="5">
        <v>898</v>
      </c>
      <c r="B453" s="19" t="s">
        <v>231</v>
      </c>
      <c r="C453" s="19" t="s">
        <v>12</v>
      </c>
      <c r="D453" s="5" t="s">
        <v>232</v>
      </c>
      <c r="E453" s="6">
        <v>367025.90629537002</v>
      </c>
      <c r="F453" s="6">
        <v>6548567.4124844996</v>
      </c>
      <c r="G453" s="7" t="str">
        <f>HYPERLINK("https://minkarta.lantmateriet.se/?e=367025,90629537&amp;n=6548567,4124845&amp;z=12&amp;profile=flygbildmedgranser&amp;background=2&amp;boundaries=true","Visa")</f>
        <v>Visa</v>
      </c>
      <c r="H453" s="5" t="s">
        <v>13</v>
      </c>
      <c r="I453" s="8">
        <v>36.583410000000001</v>
      </c>
      <c r="J453" s="9">
        <v>42.211280000000002</v>
      </c>
      <c r="K453" s="9">
        <v>43.780029999999996</v>
      </c>
      <c r="L453" s="14">
        <v>37.500529999999998</v>
      </c>
      <c r="M453" s="9">
        <v>42.6678</v>
      </c>
      <c r="N453" s="9">
        <v>44.285530000000001</v>
      </c>
      <c r="O453" s="14">
        <v>37.784469999999999</v>
      </c>
      <c r="P453" s="9">
        <v>42.698889999999999</v>
      </c>
      <c r="Q453" s="9">
        <v>44.315130000000003</v>
      </c>
      <c r="R453" s="23">
        <v>31.71274</v>
      </c>
      <c r="S453" s="8">
        <v>0.28394000000000003</v>
      </c>
      <c r="T453" s="9">
        <v>3.109E-2</v>
      </c>
      <c r="U453" s="24">
        <v>2.9600000000000001E-2</v>
      </c>
    </row>
    <row r="454" spans="1:21" ht="12" customHeight="1" x14ac:dyDescent="0.25">
      <c r="A454" s="5">
        <v>1062</v>
      </c>
      <c r="B454" s="19" t="s">
        <v>233</v>
      </c>
      <c r="C454" s="19" t="s">
        <v>234</v>
      </c>
      <c r="D454" s="5" t="s">
        <v>235</v>
      </c>
      <c r="E454" s="6">
        <v>367178.89500988001</v>
      </c>
      <c r="F454" s="6">
        <v>6548154.1200019997</v>
      </c>
      <c r="G454" s="7" t="str">
        <f>HYPERLINK("https://minkarta.lantmateriet.se/?e=367178,89500988&amp;n=6548154,120002&amp;z=12&amp;profile=flygbildmedgranser&amp;background=2&amp;boundaries=true","Visa")</f>
        <v>Visa</v>
      </c>
      <c r="H454" s="5" t="s">
        <v>15</v>
      </c>
      <c r="I454" s="8">
        <v>39.74624</v>
      </c>
      <c r="J454" s="9">
        <v>45.841189999999997</v>
      </c>
      <c r="K454" s="9">
        <v>47.369770000000003</v>
      </c>
      <c r="L454" s="14">
        <v>40.675060000000002</v>
      </c>
      <c r="M454" s="9">
        <v>46.270299999999999</v>
      </c>
      <c r="N454" s="9">
        <v>47.888269999999999</v>
      </c>
      <c r="O454" s="14">
        <v>40.834319999999998</v>
      </c>
      <c r="P454" s="9">
        <v>46.298749999999998</v>
      </c>
      <c r="Q454" s="9">
        <v>47.917589999999997</v>
      </c>
      <c r="R454" s="23">
        <v>30.781510000000001</v>
      </c>
      <c r="S454" s="8">
        <v>0.15926000000000001</v>
      </c>
      <c r="T454" s="9">
        <v>2.845E-2</v>
      </c>
      <c r="U454" s="24">
        <v>2.9319999999999999E-2</v>
      </c>
    </row>
    <row r="455" spans="1:21" ht="12" customHeight="1" x14ac:dyDescent="0.25">
      <c r="A455" s="5">
        <v>1086</v>
      </c>
      <c r="B455" s="19" t="s">
        <v>233</v>
      </c>
      <c r="C455" s="19" t="s">
        <v>234</v>
      </c>
      <c r="D455" s="5" t="s">
        <v>235</v>
      </c>
      <c r="E455" s="6">
        <v>367190.16500099999</v>
      </c>
      <c r="F455" s="6">
        <v>6548160.3950100001</v>
      </c>
      <c r="G455" s="7" t="str">
        <f>HYPERLINK("https://minkarta.lantmateriet.se/?e=367190,165001&amp;n=6548160,39501&amp;z=12&amp;profile=flygbildmedgranser&amp;background=2&amp;boundaries=true","Visa")</f>
        <v>Visa</v>
      </c>
      <c r="H455" s="5" t="s">
        <v>13</v>
      </c>
      <c r="I455" s="8">
        <v>39.813960000000002</v>
      </c>
      <c r="J455" s="9">
        <v>43.493029999999997</v>
      </c>
      <c r="K455" s="9">
        <v>45.021610000000003</v>
      </c>
      <c r="L455" s="14">
        <v>40.743000000000002</v>
      </c>
      <c r="M455" s="9">
        <v>43.922130000000003</v>
      </c>
      <c r="N455" s="9">
        <v>46.0854</v>
      </c>
      <c r="O455" s="14">
        <v>40.893270000000001</v>
      </c>
      <c r="P455" s="9">
        <v>43.950580000000002</v>
      </c>
      <c r="Q455" s="9">
        <v>46.454140000000002</v>
      </c>
      <c r="R455" s="23">
        <v>24.239149999999999</v>
      </c>
      <c r="S455" s="8">
        <v>0.15026999999999999</v>
      </c>
      <c r="T455" s="9">
        <v>2.845E-2</v>
      </c>
      <c r="U455" s="24">
        <v>0.36874000000000001</v>
      </c>
    </row>
    <row r="456" spans="1:21" ht="12" customHeight="1" x14ac:dyDescent="0.25">
      <c r="A456" s="5">
        <v>1090</v>
      </c>
      <c r="B456" s="19" t="s">
        <v>233</v>
      </c>
      <c r="C456" s="19" t="s">
        <v>234</v>
      </c>
      <c r="D456" s="5" t="s">
        <v>235</v>
      </c>
      <c r="E456" s="6">
        <v>367188.4199721</v>
      </c>
      <c r="F456" s="6">
        <v>6548166.6550019998</v>
      </c>
      <c r="G456" s="7" t="str">
        <f>HYPERLINK("https://minkarta.lantmateriet.se/?e=367188,4199721&amp;n=6548166,655002&amp;z=12&amp;profile=flygbildmedgranser&amp;background=2&amp;boundaries=true","Visa")</f>
        <v>Visa</v>
      </c>
      <c r="H456" s="5" t="s">
        <v>14</v>
      </c>
      <c r="I456" s="8">
        <v>40.593209999999999</v>
      </c>
      <c r="J456" s="9">
        <v>49.723370000000003</v>
      </c>
      <c r="K456" s="9">
        <v>51.177340000000001</v>
      </c>
      <c r="L456" s="14">
        <v>41.527079999999998</v>
      </c>
      <c r="M456" s="9">
        <v>50.22287</v>
      </c>
      <c r="N456" s="9">
        <v>53.693530000000003</v>
      </c>
      <c r="O456" s="14">
        <v>41.78604</v>
      </c>
      <c r="P456" s="9">
        <v>51.207689999999999</v>
      </c>
      <c r="Q456" s="9">
        <v>54.062260000000002</v>
      </c>
      <c r="R456" s="23">
        <v>26.041399999999999</v>
      </c>
      <c r="S456" s="8">
        <v>0.25896000000000002</v>
      </c>
      <c r="T456" s="9">
        <v>0.98482000000000003</v>
      </c>
      <c r="U456" s="24">
        <v>0.36873</v>
      </c>
    </row>
    <row r="457" spans="1:21" ht="12" customHeight="1" x14ac:dyDescent="0.25">
      <c r="A457" s="5">
        <v>1094</v>
      </c>
      <c r="B457" s="19" t="s">
        <v>233</v>
      </c>
      <c r="C457" s="19" t="s">
        <v>234</v>
      </c>
      <c r="D457" s="5" t="s">
        <v>235</v>
      </c>
      <c r="E457" s="6">
        <v>367187.72500093997</v>
      </c>
      <c r="F457" s="6">
        <v>6548169.4550371002</v>
      </c>
      <c r="G457" s="7" t="str">
        <f>HYPERLINK("https://minkarta.lantmateriet.se/?e=367187,72500094&amp;n=6548169,4550371&amp;z=12&amp;profile=flygbildmedgranser&amp;background=2&amp;boundaries=true","Visa")</f>
        <v>Visa</v>
      </c>
      <c r="H457" s="5" t="s">
        <v>13</v>
      </c>
      <c r="I457" s="8">
        <v>41.079810000000002</v>
      </c>
      <c r="J457" s="9">
        <v>52.254669999999997</v>
      </c>
      <c r="K457" s="9">
        <v>53.708629999999999</v>
      </c>
      <c r="L457" s="14">
        <v>42.00855</v>
      </c>
      <c r="M457" s="9">
        <v>52.754170000000002</v>
      </c>
      <c r="N457" s="9">
        <v>56.224820000000001</v>
      </c>
      <c r="O457" s="14">
        <v>42.355359999999997</v>
      </c>
      <c r="P457" s="9">
        <v>53.738979999999998</v>
      </c>
      <c r="Q457" s="9">
        <v>56.593559999999997</v>
      </c>
      <c r="R457" s="23">
        <v>25.280819999999999</v>
      </c>
      <c r="S457" s="8">
        <v>0.34681000000000001</v>
      </c>
      <c r="T457" s="9">
        <v>0.98480999999999996</v>
      </c>
      <c r="U457" s="24">
        <v>0.36874000000000001</v>
      </c>
    </row>
    <row r="458" spans="1:21" ht="12" customHeight="1" x14ac:dyDescent="0.25">
      <c r="A458" s="5">
        <v>1098</v>
      </c>
      <c r="B458" s="19" t="s">
        <v>233</v>
      </c>
      <c r="C458" s="19" t="s">
        <v>234</v>
      </c>
      <c r="D458" s="5" t="s">
        <v>235</v>
      </c>
      <c r="E458" s="6">
        <v>367186.38500100002</v>
      </c>
      <c r="F458" s="6">
        <v>6548170.8900020001</v>
      </c>
      <c r="G458" s="7" t="str">
        <f>HYPERLINK("https://minkarta.lantmateriet.se/?e=367186,385001&amp;n=6548170,890002&amp;z=12&amp;profile=flygbildmedgranser&amp;background=2&amp;boundaries=true","Visa")</f>
        <v>Visa</v>
      </c>
      <c r="H458" s="5" t="s">
        <v>14</v>
      </c>
      <c r="I458" s="8">
        <v>40.383800000000001</v>
      </c>
      <c r="J458" s="9">
        <v>49.73274</v>
      </c>
      <c r="K458" s="9">
        <v>51.186700000000002</v>
      </c>
      <c r="L458" s="14">
        <v>41.329520000000002</v>
      </c>
      <c r="M458" s="9">
        <v>50.232230000000001</v>
      </c>
      <c r="N458" s="9">
        <v>53.702889999999996</v>
      </c>
      <c r="O458" s="14">
        <v>41.60519</v>
      </c>
      <c r="P458" s="9">
        <v>51.21705</v>
      </c>
      <c r="Q458" s="9">
        <v>54.071629999999999</v>
      </c>
      <c r="R458" s="23">
        <v>33.166530000000002</v>
      </c>
      <c r="S458" s="8">
        <v>0.27567000000000003</v>
      </c>
      <c r="T458" s="9">
        <v>0.98482000000000003</v>
      </c>
      <c r="U458" s="24">
        <v>0.36874000000000001</v>
      </c>
    </row>
    <row r="459" spans="1:21" ht="12" customHeight="1" x14ac:dyDescent="0.25">
      <c r="A459" s="5">
        <v>1102</v>
      </c>
      <c r="B459" s="19" t="s">
        <v>233</v>
      </c>
      <c r="C459" s="19" t="s">
        <v>234</v>
      </c>
      <c r="D459" s="5" t="s">
        <v>235</v>
      </c>
      <c r="E459" s="6">
        <v>367185.05500102998</v>
      </c>
      <c r="F459" s="6">
        <v>6548168.7599783996</v>
      </c>
      <c r="G459" s="7" t="str">
        <f>HYPERLINK("https://minkarta.lantmateriet.se/?e=367185,05500103&amp;n=6548168,7599784&amp;z=12&amp;profile=flygbildmedgranser&amp;background=2&amp;boundaries=true","Visa")</f>
        <v>Visa</v>
      </c>
      <c r="H459" s="5" t="s">
        <v>16</v>
      </c>
      <c r="I459" s="8">
        <v>40.331589999999998</v>
      </c>
      <c r="J459" s="9">
        <v>43.450470000000003</v>
      </c>
      <c r="K459" s="9">
        <v>44.979050000000001</v>
      </c>
      <c r="L459" s="14">
        <v>41.226840000000003</v>
      </c>
      <c r="M459" s="9">
        <v>43.879570000000001</v>
      </c>
      <c r="N459" s="9">
        <v>45.497540000000001</v>
      </c>
      <c r="O459" s="14">
        <v>41.360889999999998</v>
      </c>
      <c r="P459" s="9">
        <v>43.587870000000002</v>
      </c>
      <c r="Q459" s="9">
        <v>45.206710000000001</v>
      </c>
      <c r="R459" s="23">
        <v>33.572090000000003</v>
      </c>
      <c r="S459" s="8">
        <v>0.13405</v>
      </c>
      <c r="T459" s="9">
        <v>-0.29170000000000001</v>
      </c>
      <c r="U459" s="24">
        <v>-0.29082999999999998</v>
      </c>
    </row>
    <row r="460" spans="1:21" ht="12" customHeight="1" x14ac:dyDescent="0.25">
      <c r="A460" s="5">
        <v>1106</v>
      </c>
      <c r="B460" s="19" t="s">
        <v>233</v>
      </c>
      <c r="C460" s="19" t="s">
        <v>234</v>
      </c>
      <c r="D460" s="5" t="s">
        <v>235</v>
      </c>
      <c r="E460" s="6">
        <v>367182.22000099998</v>
      </c>
      <c r="F460" s="6">
        <v>6548166.6500019999</v>
      </c>
      <c r="G460" s="7" t="str">
        <f>HYPERLINK("https://minkarta.lantmateriet.se/?e=367182,220001&amp;n=6548166,650002&amp;z=12&amp;profile=flygbildmedgranser&amp;background=2&amp;boundaries=true","Visa")</f>
        <v>Visa</v>
      </c>
      <c r="H460" s="5" t="s">
        <v>14</v>
      </c>
      <c r="I460" s="8">
        <v>40.407060000000001</v>
      </c>
      <c r="J460" s="9">
        <v>43.278100000000002</v>
      </c>
      <c r="K460" s="9">
        <v>44.80668</v>
      </c>
      <c r="L460" s="14">
        <v>41.320279999999997</v>
      </c>
      <c r="M460" s="9">
        <v>43.707210000000003</v>
      </c>
      <c r="N460" s="9">
        <v>46.494329999999998</v>
      </c>
      <c r="O460" s="14">
        <v>41.415109999999999</v>
      </c>
      <c r="P460" s="9">
        <v>44.027259999999998</v>
      </c>
      <c r="Q460" s="9">
        <v>46.881839999999997</v>
      </c>
      <c r="R460" s="23">
        <v>28.961369999999999</v>
      </c>
      <c r="S460" s="8">
        <v>9.4829999999999998E-2</v>
      </c>
      <c r="T460" s="9">
        <v>0.32005</v>
      </c>
      <c r="U460" s="24">
        <v>0.38751000000000002</v>
      </c>
    </row>
    <row r="461" spans="1:21" ht="12" customHeight="1" x14ac:dyDescent="0.25">
      <c r="A461" s="5">
        <v>1110</v>
      </c>
      <c r="B461" s="19" t="s">
        <v>233</v>
      </c>
      <c r="C461" s="19" t="s">
        <v>234</v>
      </c>
      <c r="D461" s="5" t="s">
        <v>235</v>
      </c>
      <c r="E461" s="6">
        <v>367180.45000100002</v>
      </c>
      <c r="F461" s="6">
        <v>6548169.4450019998</v>
      </c>
      <c r="G461" s="7" t="str">
        <f>HYPERLINK("https://minkarta.lantmateriet.se/?e=367180,450001&amp;n=6548169,445002&amp;z=12&amp;profile=flygbildmedgranser&amp;background=2&amp;boundaries=true","Visa")</f>
        <v>Visa</v>
      </c>
      <c r="H461" s="5" t="s">
        <v>13</v>
      </c>
      <c r="I461" s="8">
        <v>41.347850000000001</v>
      </c>
      <c r="J461" s="9">
        <v>44.992249999999999</v>
      </c>
      <c r="K461" s="9">
        <v>46.446219999999997</v>
      </c>
      <c r="L461" s="14">
        <v>42.27834</v>
      </c>
      <c r="M461" s="9">
        <v>45.491750000000003</v>
      </c>
      <c r="N461" s="9">
        <v>48.962409999999998</v>
      </c>
      <c r="O461" s="14">
        <v>42.467730000000003</v>
      </c>
      <c r="P461" s="9">
        <v>46.477600000000002</v>
      </c>
      <c r="Q461" s="9">
        <v>49.332180000000001</v>
      </c>
      <c r="R461" s="23">
        <v>27.059550000000002</v>
      </c>
      <c r="S461" s="8">
        <v>0.18939</v>
      </c>
      <c r="T461" s="9">
        <v>0.98585</v>
      </c>
      <c r="U461" s="24">
        <v>0.36976999999999999</v>
      </c>
    </row>
    <row r="462" spans="1:21" ht="12" customHeight="1" x14ac:dyDescent="0.25">
      <c r="A462" s="5">
        <v>1114</v>
      </c>
      <c r="B462" s="19" t="s">
        <v>233</v>
      </c>
      <c r="C462" s="19" t="s">
        <v>234</v>
      </c>
      <c r="D462" s="5" t="s">
        <v>235</v>
      </c>
      <c r="E462" s="6">
        <v>367179.120001</v>
      </c>
      <c r="F462" s="6">
        <v>6548170.8800020004</v>
      </c>
      <c r="G462" s="7" t="str">
        <f>HYPERLINK("https://minkarta.lantmateriet.se/?e=367179,120001&amp;n=6548170,880002&amp;z=12&amp;profile=flygbildmedgranser&amp;background=2&amp;boundaries=true","Visa")</f>
        <v>Visa</v>
      </c>
      <c r="H462" s="5" t="s">
        <v>14</v>
      </c>
      <c r="I462" s="8">
        <v>39.847029999999997</v>
      </c>
      <c r="J462" s="9">
        <v>43.014099999999999</v>
      </c>
      <c r="K462" s="9">
        <v>44.468060000000001</v>
      </c>
      <c r="L462" s="14">
        <v>40.775019999999998</v>
      </c>
      <c r="M462" s="9">
        <v>43.499319999999997</v>
      </c>
      <c r="N462" s="9">
        <v>46.96998</v>
      </c>
      <c r="O462" s="14">
        <v>41.000599999999999</v>
      </c>
      <c r="P462" s="9">
        <v>44.492130000000003</v>
      </c>
      <c r="Q462" s="9">
        <v>47.346710000000002</v>
      </c>
      <c r="R462" s="23">
        <v>34.255360000000003</v>
      </c>
      <c r="S462" s="8">
        <v>0.22558</v>
      </c>
      <c r="T462" s="9">
        <v>0.99280999999999997</v>
      </c>
      <c r="U462" s="24">
        <v>0.37673000000000001</v>
      </c>
    </row>
    <row r="463" spans="1:21" ht="12" customHeight="1" x14ac:dyDescent="0.25">
      <c r="A463" s="5">
        <v>1118</v>
      </c>
      <c r="B463" s="19" t="s">
        <v>233</v>
      </c>
      <c r="C463" s="19" t="s">
        <v>234</v>
      </c>
      <c r="D463" s="5" t="s">
        <v>235</v>
      </c>
      <c r="E463" s="6">
        <v>367177.79000099999</v>
      </c>
      <c r="F463" s="6">
        <v>6548168.7550020004</v>
      </c>
      <c r="G463" s="7" t="str">
        <f>HYPERLINK("https://minkarta.lantmateriet.se/?e=367177,790001&amp;n=6548168,755002&amp;z=12&amp;profile=flygbildmedgranser&amp;background=2&amp;boundaries=true","Visa")</f>
        <v>Visa</v>
      </c>
      <c r="H463" s="5" t="s">
        <v>16</v>
      </c>
      <c r="I463" s="8">
        <v>40.084870000000002</v>
      </c>
      <c r="J463" s="9">
        <v>43.327240000000003</v>
      </c>
      <c r="K463" s="9">
        <v>44.855820000000001</v>
      </c>
      <c r="L463" s="14">
        <v>41.026519999999998</v>
      </c>
      <c r="M463" s="9">
        <v>43.756340000000002</v>
      </c>
      <c r="N463" s="9">
        <v>45.374310000000001</v>
      </c>
      <c r="O463" s="14">
        <v>41.15184</v>
      </c>
      <c r="P463" s="9">
        <v>43.784790000000001</v>
      </c>
      <c r="Q463" s="9">
        <v>45.40363</v>
      </c>
      <c r="R463" s="23">
        <v>34.780149999999999</v>
      </c>
      <c r="S463" s="8">
        <v>0.12531999999999999</v>
      </c>
      <c r="T463" s="9">
        <v>2.845E-2</v>
      </c>
      <c r="U463" s="24">
        <v>2.9319999999999999E-2</v>
      </c>
    </row>
    <row r="464" spans="1:21" ht="12" customHeight="1" x14ac:dyDescent="0.25">
      <c r="A464" s="5">
        <v>1122</v>
      </c>
      <c r="B464" s="19" t="s">
        <v>233</v>
      </c>
      <c r="C464" s="19" t="s">
        <v>234</v>
      </c>
      <c r="D464" s="5" t="s">
        <v>235</v>
      </c>
      <c r="E464" s="6">
        <v>367174.89498379</v>
      </c>
      <c r="F464" s="6">
        <v>6548166.645002</v>
      </c>
      <c r="G464" s="7" t="str">
        <f>HYPERLINK("https://minkarta.lantmateriet.se/?e=367174,89498379&amp;n=6548166,645002&amp;z=12&amp;profile=flygbildmedgranser&amp;background=2&amp;boundaries=true","Visa")</f>
        <v>Visa</v>
      </c>
      <c r="H464" s="5" t="s">
        <v>14</v>
      </c>
      <c r="I464" s="8">
        <v>40.238689999999998</v>
      </c>
      <c r="J464" s="9">
        <v>42.978949999999998</v>
      </c>
      <c r="K464" s="9">
        <v>44.507530000000003</v>
      </c>
      <c r="L464" s="14">
        <v>41.157179999999997</v>
      </c>
      <c r="M464" s="9">
        <v>43.408050000000003</v>
      </c>
      <c r="N464" s="9">
        <v>46.543120000000002</v>
      </c>
      <c r="O464" s="14">
        <v>41.243429999999996</v>
      </c>
      <c r="P464" s="9">
        <v>43.890700000000002</v>
      </c>
      <c r="Q464" s="9">
        <v>46.745269999999998</v>
      </c>
      <c r="R464" s="23">
        <v>32.546439999999997</v>
      </c>
      <c r="S464" s="8">
        <v>8.6249999999999993E-2</v>
      </c>
      <c r="T464" s="9">
        <v>0.48265000000000002</v>
      </c>
      <c r="U464" s="24">
        <v>0.20215</v>
      </c>
    </row>
    <row r="465" spans="1:21" ht="12" customHeight="1" x14ac:dyDescent="0.25">
      <c r="A465" s="5">
        <v>1126</v>
      </c>
      <c r="B465" s="19" t="s">
        <v>233</v>
      </c>
      <c r="C465" s="19" t="s">
        <v>234</v>
      </c>
      <c r="D465" s="5" t="s">
        <v>235</v>
      </c>
      <c r="E465" s="6">
        <v>367173.050001</v>
      </c>
      <c r="F465" s="6">
        <v>6548169.4300020002</v>
      </c>
      <c r="G465" s="7" t="str">
        <f>HYPERLINK("https://minkarta.lantmateriet.se/?e=367173,050001&amp;n=6548169,430002&amp;z=12&amp;profile=flygbildmedgranser&amp;background=2&amp;boundaries=true","Visa")</f>
        <v>Visa</v>
      </c>
      <c r="H465" s="5" t="s">
        <v>13</v>
      </c>
      <c r="I465" s="8">
        <v>40.76417</v>
      </c>
      <c r="J465" s="9">
        <v>44.9238</v>
      </c>
      <c r="K465" s="9">
        <v>46.377769999999998</v>
      </c>
      <c r="L465" s="14">
        <v>41.706969999999998</v>
      </c>
      <c r="M465" s="9">
        <v>45.423299999999998</v>
      </c>
      <c r="N465" s="9">
        <v>48.89396</v>
      </c>
      <c r="O465" s="14">
        <v>41.992829999999998</v>
      </c>
      <c r="P465" s="9">
        <v>46.408119999999997</v>
      </c>
      <c r="Q465" s="9">
        <v>49.262689999999999</v>
      </c>
      <c r="R465" s="23">
        <v>31.115079999999999</v>
      </c>
      <c r="S465" s="8">
        <v>0.28586</v>
      </c>
      <c r="T465" s="9">
        <v>0.98482000000000003</v>
      </c>
      <c r="U465" s="24">
        <v>0.36873</v>
      </c>
    </row>
    <row r="466" spans="1:21" ht="12" customHeight="1" x14ac:dyDescent="0.25">
      <c r="A466" s="5">
        <v>1130</v>
      </c>
      <c r="B466" s="19" t="s">
        <v>233</v>
      </c>
      <c r="C466" s="19" t="s">
        <v>234</v>
      </c>
      <c r="D466" s="5" t="s">
        <v>235</v>
      </c>
      <c r="E466" s="6">
        <v>367171.68496410002</v>
      </c>
      <c r="F466" s="6">
        <v>6548170.8550019003</v>
      </c>
      <c r="G466" s="7" t="str">
        <f>HYPERLINK("https://minkarta.lantmateriet.se/?e=367171,6849641&amp;n=6548170,8550019&amp;z=12&amp;profile=flygbildmedgranser&amp;background=2&amp;boundaries=true","Visa")</f>
        <v>Visa</v>
      </c>
      <c r="H466" s="5" t="s">
        <v>14</v>
      </c>
      <c r="I466" s="8">
        <v>39.175829999999998</v>
      </c>
      <c r="J466" s="9">
        <v>43.276220000000002</v>
      </c>
      <c r="K466" s="9">
        <v>44.73019</v>
      </c>
      <c r="L466" s="14">
        <v>40.117539999999998</v>
      </c>
      <c r="M466" s="9">
        <v>43.77572</v>
      </c>
      <c r="N466" s="9">
        <v>47.246380000000002</v>
      </c>
      <c r="O466" s="14">
        <v>40.402079999999998</v>
      </c>
      <c r="P466" s="9">
        <v>44.758139999999997</v>
      </c>
      <c r="Q466" s="9">
        <v>47.612720000000003</v>
      </c>
      <c r="R466" s="23">
        <v>34.324179999999998</v>
      </c>
      <c r="S466" s="8">
        <v>0.28454000000000002</v>
      </c>
      <c r="T466" s="9">
        <v>0.98241999999999996</v>
      </c>
      <c r="U466" s="24">
        <v>0.36634</v>
      </c>
    </row>
    <row r="467" spans="1:21" ht="12" customHeight="1" x14ac:dyDescent="0.25">
      <c r="A467" s="5">
        <v>1134</v>
      </c>
      <c r="B467" s="19" t="s">
        <v>233</v>
      </c>
      <c r="C467" s="19" t="s">
        <v>234</v>
      </c>
      <c r="D467" s="5" t="s">
        <v>235</v>
      </c>
      <c r="E467" s="6">
        <v>367170.32000100001</v>
      </c>
      <c r="F467" s="6">
        <v>6548168.7350019999</v>
      </c>
      <c r="G467" s="7" t="str">
        <f>HYPERLINK("https://minkarta.lantmateriet.se/?e=367170,320001&amp;n=6548168,735002&amp;z=12&amp;profile=flygbildmedgranser&amp;background=2&amp;boundaries=true","Visa")</f>
        <v>Visa</v>
      </c>
      <c r="H467" s="5" t="s">
        <v>16</v>
      </c>
      <c r="I467" s="8">
        <v>39.06803</v>
      </c>
      <c r="J467" s="9">
        <v>41.967269999999999</v>
      </c>
      <c r="K467" s="9">
        <v>43.495849999999997</v>
      </c>
      <c r="L467" s="14">
        <v>40.003169999999997</v>
      </c>
      <c r="M467" s="9">
        <v>42.396380000000001</v>
      </c>
      <c r="N467" s="9">
        <v>44.771830000000001</v>
      </c>
      <c r="O467" s="14">
        <v>40.199210000000001</v>
      </c>
      <c r="P467" s="9">
        <v>42.42483</v>
      </c>
      <c r="Q467" s="9">
        <v>45.140560000000001</v>
      </c>
      <c r="R467" s="23">
        <v>34.800620000000002</v>
      </c>
      <c r="S467" s="8">
        <v>0.19603999999999999</v>
      </c>
      <c r="T467" s="9">
        <v>2.845E-2</v>
      </c>
      <c r="U467" s="24">
        <v>0.36873</v>
      </c>
    </row>
    <row r="468" spans="1:21" ht="12" customHeight="1" x14ac:dyDescent="0.25">
      <c r="A468" s="5">
        <v>1138</v>
      </c>
      <c r="B468" s="19" t="s">
        <v>233</v>
      </c>
      <c r="C468" s="19" t="s">
        <v>234</v>
      </c>
      <c r="D468" s="5" t="s">
        <v>235</v>
      </c>
      <c r="E468" s="6">
        <v>367168.97500099998</v>
      </c>
      <c r="F468" s="6">
        <v>6548166.6400020001</v>
      </c>
      <c r="G468" s="7" t="str">
        <f>HYPERLINK("https://minkarta.lantmateriet.se/?e=367168,975001&amp;n=6548166,640002&amp;z=12&amp;profile=flygbildmedgranser&amp;background=2&amp;boundaries=true","Visa")</f>
        <v>Visa</v>
      </c>
      <c r="H468" s="5" t="s">
        <v>14</v>
      </c>
      <c r="I468" s="8">
        <v>39.739490000000004</v>
      </c>
      <c r="J468" s="9">
        <v>42.339080000000003</v>
      </c>
      <c r="K468" s="9">
        <v>43.867660000000001</v>
      </c>
      <c r="L468" s="14">
        <v>40.672029999999999</v>
      </c>
      <c r="M468" s="9">
        <v>42.768189999999997</v>
      </c>
      <c r="N468" s="9">
        <v>44.386159999999997</v>
      </c>
      <c r="O468" s="14">
        <v>40.81494</v>
      </c>
      <c r="P468" s="9">
        <v>42.796639999999996</v>
      </c>
      <c r="Q468" s="9">
        <v>44.415480000000002</v>
      </c>
      <c r="R468" s="23">
        <v>34.202559999999998</v>
      </c>
      <c r="S468" s="8">
        <v>0.14291000000000001</v>
      </c>
      <c r="T468" s="9">
        <v>2.845E-2</v>
      </c>
      <c r="U468" s="24">
        <v>2.9319999999999999E-2</v>
      </c>
    </row>
    <row r="469" spans="1:21" ht="12" customHeight="1" x14ac:dyDescent="0.25">
      <c r="A469" s="5">
        <v>1142</v>
      </c>
      <c r="B469" s="19" t="s">
        <v>233</v>
      </c>
      <c r="C469" s="19" t="s">
        <v>234</v>
      </c>
      <c r="D469" s="5" t="s">
        <v>235</v>
      </c>
      <c r="E469" s="6">
        <v>367167.615001</v>
      </c>
      <c r="F469" s="6">
        <v>6548160.3749940004</v>
      </c>
      <c r="G469" s="7" t="str">
        <f>HYPERLINK("https://minkarta.lantmateriet.se/?e=367167,615001&amp;n=6548160,374994&amp;z=12&amp;profile=flygbildmedgranser&amp;background=2&amp;boundaries=true","Visa")</f>
        <v>Visa</v>
      </c>
      <c r="H469" s="5" t="s">
        <v>16</v>
      </c>
      <c r="I469" s="8">
        <v>38.619169999999997</v>
      </c>
      <c r="J469" s="9">
        <v>40.357190000000003</v>
      </c>
      <c r="K469" s="9">
        <v>41.811160000000001</v>
      </c>
      <c r="L469" s="14">
        <v>39.555480000000003</v>
      </c>
      <c r="M469" s="9">
        <v>40.85669</v>
      </c>
      <c r="N469" s="9">
        <v>44.327350000000003</v>
      </c>
      <c r="O469" s="14">
        <v>39.827710000000003</v>
      </c>
      <c r="P469" s="9">
        <v>42.270409999999998</v>
      </c>
      <c r="Q469" s="9">
        <v>45.124989999999997</v>
      </c>
      <c r="R469" s="23">
        <v>32.151760000000003</v>
      </c>
      <c r="S469" s="8">
        <v>0.27223000000000003</v>
      </c>
      <c r="T469" s="9">
        <v>1.4137200000000001</v>
      </c>
      <c r="U469" s="24">
        <v>0.79764000000000002</v>
      </c>
    </row>
    <row r="470" spans="1:21" ht="12" customHeight="1" x14ac:dyDescent="0.25">
      <c r="A470" s="5">
        <v>1146</v>
      </c>
      <c r="B470" s="19" t="s">
        <v>233</v>
      </c>
      <c r="C470" s="19" t="s">
        <v>234</v>
      </c>
      <c r="D470" s="5" t="s">
        <v>236</v>
      </c>
      <c r="E470" s="6">
        <v>367211.59000099998</v>
      </c>
      <c r="F470" s="6">
        <v>6548195.3400020003</v>
      </c>
      <c r="G470" s="7" t="str">
        <f>HYPERLINK("https://minkarta.lantmateriet.se/?e=367211,590001&amp;n=6548195,340002&amp;z=12&amp;profile=flygbildmedgranser&amp;background=2&amp;boundaries=true","Visa")</f>
        <v>Visa</v>
      </c>
      <c r="H470" s="5" t="s">
        <v>13</v>
      </c>
      <c r="I470" s="8">
        <v>41.32338</v>
      </c>
      <c r="J470" s="9">
        <v>49.944940000000003</v>
      </c>
      <c r="K470" s="9">
        <v>51.398910000000001</v>
      </c>
      <c r="L470" s="14">
        <v>42.273519999999998</v>
      </c>
      <c r="M470" s="9">
        <v>50.44444</v>
      </c>
      <c r="N470" s="9">
        <v>53.915100000000002</v>
      </c>
      <c r="O470" s="14">
        <v>42.626379999999997</v>
      </c>
      <c r="P470" s="9">
        <v>51.429259999999999</v>
      </c>
      <c r="Q470" s="9">
        <v>54.283830000000002</v>
      </c>
      <c r="R470" s="23">
        <v>29.002500000000001</v>
      </c>
      <c r="S470" s="8">
        <v>0.35286000000000001</v>
      </c>
      <c r="T470" s="9">
        <v>0.98482000000000003</v>
      </c>
      <c r="U470" s="24">
        <v>0.36873</v>
      </c>
    </row>
    <row r="471" spans="1:21" ht="12" customHeight="1" x14ac:dyDescent="0.25">
      <c r="A471" s="5">
        <v>1151</v>
      </c>
      <c r="B471" s="19" t="s">
        <v>233</v>
      </c>
      <c r="C471" s="19" t="s">
        <v>234</v>
      </c>
      <c r="D471" s="5" t="s">
        <v>236</v>
      </c>
      <c r="E471" s="6">
        <v>367213.38000100001</v>
      </c>
      <c r="F471" s="6">
        <v>6548197.5150020001</v>
      </c>
      <c r="G471" s="7" t="str">
        <f>HYPERLINK("https://minkarta.lantmateriet.se/?e=367213,380001&amp;n=6548197,515002&amp;z=12&amp;profile=flygbildmedgranser&amp;background=2&amp;boundaries=true","Visa")</f>
        <v>Visa</v>
      </c>
      <c r="H471" s="5" t="s">
        <v>13</v>
      </c>
      <c r="I471" s="8">
        <v>42.38476</v>
      </c>
      <c r="J471" s="9">
        <v>54.131070000000001</v>
      </c>
      <c r="K471" s="9">
        <v>55.585039999999999</v>
      </c>
      <c r="L471" s="14">
        <v>43.338900000000002</v>
      </c>
      <c r="M471" s="9">
        <v>54.630569999999999</v>
      </c>
      <c r="N471" s="9">
        <v>58.101230000000001</v>
      </c>
      <c r="O471" s="14">
        <v>43.767960000000002</v>
      </c>
      <c r="P471" s="9">
        <v>55.616300000000003</v>
      </c>
      <c r="Q471" s="9">
        <v>58.470869999999998</v>
      </c>
      <c r="R471" s="23">
        <v>30.359559999999998</v>
      </c>
      <c r="S471" s="8">
        <v>0.42906</v>
      </c>
      <c r="T471" s="9">
        <v>0.98573</v>
      </c>
      <c r="U471" s="24">
        <v>0.36964000000000002</v>
      </c>
    </row>
    <row r="472" spans="1:21" ht="12" customHeight="1" x14ac:dyDescent="0.25">
      <c r="A472" s="5">
        <v>1152</v>
      </c>
      <c r="B472" s="19" t="s">
        <v>233</v>
      </c>
      <c r="C472" s="19" t="s">
        <v>234</v>
      </c>
      <c r="D472" s="5" t="s">
        <v>236</v>
      </c>
      <c r="E472" s="6">
        <v>367211.620001</v>
      </c>
      <c r="F472" s="6">
        <v>6548198.6800020002</v>
      </c>
      <c r="G472" s="7" t="str">
        <f>HYPERLINK("https://minkarta.lantmateriet.se/?e=367211,620001&amp;n=6548198,680002&amp;z=12&amp;profile=flygbildmedgranser&amp;background=2&amp;boundaries=true","Visa")</f>
        <v>Visa</v>
      </c>
      <c r="H472" s="5" t="s">
        <v>14</v>
      </c>
      <c r="I472" s="8">
        <v>41.46313</v>
      </c>
      <c r="J472" s="9">
        <v>51.907200000000003</v>
      </c>
      <c r="K472" s="9">
        <v>53.361159999999998</v>
      </c>
      <c r="L472" s="14">
        <v>42.418030000000002</v>
      </c>
      <c r="M472" s="9">
        <v>52.406689999999998</v>
      </c>
      <c r="N472" s="9">
        <v>55.87735</v>
      </c>
      <c r="O472" s="14">
        <v>42.834789999999998</v>
      </c>
      <c r="P472" s="9">
        <v>53.391599999999997</v>
      </c>
      <c r="Q472" s="9">
        <v>56.246169999999999</v>
      </c>
      <c r="R472" s="23">
        <v>33.416289999999996</v>
      </c>
      <c r="S472" s="8">
        <v>0.41676000000000002</v>
      </c>
      <c r="T472" s="9">
        <v>0.98490999999999995</v>
      </c>
      <c r="U472" s="24">
        <v>0.36881999999999998</v>
      </c>
    </row>
    <row r="473" spans="1:21" ht="12" customHeight="1" x14ac:dyDescent="0.25">
      <c r="A473" s="5">
        <v>1157</v>
      </c>
      <c r="B473" s="19" t="s">
        <v>233</v>
      </c>
      <c r="C473" s="19" t="s">
        <v>234</v>
      </c>
      <c r="D473" s="5" t="s">
        <v>236</v>
      </c>
      <c r="E473" s="6">
        <v>367209.86000099999</v>
      </c>
      <c r="F473" s="6">
        <v>6548196.4950019997</v>
      </c>
      <c r="G473" s="7" t="str">
        <f>HYPERLINK("https://minkarta.lantmateriet.se/?e=367209,860001&amp;n=6548196,495002&amp;z=12&amp;profile=flygbildmedgranser&amp;background=2&amp;boundaries=true","Visa")</f>
        <v>Visa</v>
      </c>
      <c r="H473" s="5" t="s">
        <v>16</v>
      </c>
      <c r="I473" s="8">
        <v>40.859340000000003</v>
      </c>
      <c r="J473" s="9">
        <v>44.50656</v>
      </c>
      <c r="K473" s="9">
        <v>46.035139999999998</v>
      </c>
      <c r="L473" s="14">
        <v>41.795439999999999</v>
      </c>
      <c r="M473" s="9">
        <v>44.935670000000002</v>
      </c>
      <c r="N473" s="9">
        <v>46.553629999999998</v>
      </c>
      <c r="O473" s="14">
        <v>41.98854</v>
      </c>
      <c r="P473" s="9">
        <v>44.964120000000001</v>
      </c>
      <c r="Q473" s="9">
        <v>46.582949999999997</v>
      </c>
      <c r="R473" s="23">
        <v>34.147480000000002</v>
      </c>
      <c r="S473" s="8">
        <v>0.19309999999999999</v>
      </c>
      <c r="T473" s="9">
        <v>2.845E-2</v>
      </c>
      <c r="U473" s="24">
        <v>2.9319999999999999E-2</v>
      </c>
    </row>
    <row r="474" spans="1:21" ht="12" customHeight="1" x14ac:dyDescent="0.25">
      <c r="A474" s="5">
        <v>1159</v>
      </c>
      <c r="B474" s="19" t="s">
        <v>233</v>
      </c>
      <c r="C474" s="19" t="s">
        <v>234</v>
      </c>
      <c r="D474" s="5" t="s">
        <v>236</v>
      </c>
      <c r="E474" s="6">
        <v>367208.620001</v>
      </c>
      <c r="F474" s="6">
        <v>6548194.3300019996</v>
      </c>
      <c r="G474" s="7" t="str">
        <f>HYPERLINK("https://minkarta.lantmateriet.se/?e=367208,620001&amp;n=6548194,330002&amp;z=12&amp;profile=flygbildmedgranser&amp;background=2&amp;boundaries=true","Visa")</f>
        <v>Visa</v>
      </c>
      <c r="H474" s="5" t="s">
        <v>14</v>
      </c>
      <c r="I474" s="8">
        <v>40.734490000000001</v>
      </c>
      <c r="J474" s="9">
        <v>42.546900000000001</v>
      </c>
      <c r="K474" s="9">
        <v>44.075479999999999</v>
      </c>
      <c r="L474" s="14">
        <v>41.66713</v>
      </c>
      <c r="M474" s="9">
        <v>42.976010000000002</v>
      </c>
      <c r="N474" s="9">
        <v>44.593969999999999</v>
      </c>
      <c r="O474" s="14">
        <v>41.881039999999999</v>
      </c>
      <c r="P474" s="9">
        <v>43.004460000000002</v>
      </c>
      <c r="Q474" s="9">
        <v>44.623289999999997</v>
      </c>
      <c r="R474" s="23">
        <v>35.680570000000003</v>
      </c>
      <c r="S474" s="8">
        <v>0.21390999999999999</v>
      </c>
      <c r="T474" s="9">
        <v>2.845E-2</v>
      </c>
      <c r="U474" s="24">
        <v>2.9319999999999999E-2</v>
      </c>
    </row>
    <row r="475" spans="1:21" ht="12" customHeight="1" x14ac:dyDescent="0.25">
      <c r="A475" s="5">
        <v>1161</v>
      </c>
      <c r="B475" s="19" t="s">
        <v>233</v>
      </c>
      <c r="C475" s="19" t="s">
        <v>234</v>
      </c>
      <c r="D475" s="5" t="s">
        <v>236</v>
      </c>
      <c r="E475" s="6">
        <v>367207.35500099999</v>
      </c>
      <c r="F475" s="6">
        <v>6548188.8450111002</v>
      </c>
      <c r="G475" s="7" t="str">
        <f>HYPERLINK("https://minkarta.lantmateriet.se/?e=367207,355001&amp;n=6548188,8450111&amp;z=12&amp;profile=flygbildmedgranser&amp;background=2&amp;boundaries=true","Visa")</f>
        <v>Visa</v>
      </c>
      <c r="H475" s="5" t="s">
        <v>16</v>
      </c>
      <c r="I475" s="8">
        <v>40.083660000000002</v>
      </c>
      <c r="J475" s="9">
        <v>43.127929999999999</v>
      </c>
      <c r="K475" s="9">
        <v>44.656509999999997</v>
      </c>
      <c r="L475" s="14">
        <v>41.021900000000002</v>
      </c>
      <c r="M475" s="9">
        <v>43.557040000000001</v>
      </c>
      <c r="N475" s="9">
        <v>45.174999999999997</v>
      </c>
      <c r="O475" s="14">
        <v>41.247680000000003</v>
      </c>
      <c r="P475" s="9">
        <v>43.58549</v>
      </c>
      <c r="Q475" s="9">
        <v>45.204320000000003</v>
      </c>
      <c r="R475" s="23">
        <v>34.3123</v>
      </c>
      <c r="S475" s="8">
        <v>0.22578000000000001</v>
      </c>
      <c r="T475" s="9">
        <v>2.845E-2</v>
      </c>
      <c r="U475" s="24">
        <v>2.9319999999999999E-2</v>
      </c>
    </row>
    <row r="476" spans="1:21" ht="12" customHeight="1" x14ac:dyDescent="0.25">
      <c r="A476" s="5">
        <v>1171</v>
      </c>
      <c r="B476" s="19" t="s">
        <v>237</v>
      </c>
      <c r="C476" s="19" t="s">
        <v>12</v>
      </c>
      <c r="D476" s="5" t="s">
        <v>238</v>
      </c>
      <c r="E476" s="6">
        <v>367047.54170333</v>
      </c>
      <c r="F476" s="6">
        <v>6548290.1422279999</v>
      </c>
      <c r="G476" s="7" t="str">
        <f>HYPERLINK("https://minkarta.lantmateriet.se/?e=367047,54170333&amp;n=6548290,142228&amp;z=12&amp;profile=flygbildmedgranser&amp;background=2&amp;boundaries=true","Visa")</f>
        <v>Visa</v>
      </c>
      <c r="H476" s="5" t="s">
        <v>11</v>
      </c>
      <c r="I476" s="8">
        <v>38.924500000000002</v>
      </c>
      <c r="J476" s="9">
        <v>42.316009999999999</v>
      </c>
      <c r="K476" s="9">
        <v>43.844589999999997</v>
      </c>
      <c r="L476" s="14">
        <v>39.846879999999999</v>
      </c>
      <c r="M476" s="9">
        <v>42.74512</v>
      </c>
      <c r="N476" s="9">
        <v>44.363079999999997</v>
      </c>
      <c r="O476" s="14">
        <v>39.940159999999999</v>
      </c>
      <c r="P476" s="9">
        <v>45.057090000000002</v>
      </c>
      <c r="Q476" s="9">
        <v>45.057090000000002</v>
      </c>
      <c r="R476" s="23">
        <v>37.956000000000003</v>
      </c>
      <c r="S476" s="8">
        <v>9.3280000000000002E-2</v>
      </c>
      <c r="T476" s="9">
        <v>2.3119700000000001</v>
      </c>
      <c r="U476" s="24">
        <v>0.69401000000000002</v>
      </c>
    </row>
    <row r="477" spans="1:21" ht="12" customHeight="1" x14ac:dyDescent="0.25">
      <c r="A477" s="5">
        <v>1172</v>
      </c>
      <c r="B477" s="19" t="s">
        <v>237</v>
      </c>
      <c r="C477" s="19" t="s">
        <v>12</v>
      </c>
      <c r="D477" s="5" t="s">
        <v>238</v>
      </c>
      <c r="E477" s="6">
        <v>367056.08477473998</v>
      </c>
      <c r="F477" s="6">
        <v>6548290.5822039004</v>
      </c>
      <c r="G477" s="7" t="str">
        <f>HYPERLINK("https://minkarta.lantmateriet.se/?e=367056,08477474&amp;n=6548290,5822039&amp;z=12&amp;profile=flygbildmedgranser&amp;background=2&amp;boundaries=true","Visa")</f>
        <v>Visa</v>
      </c>
      <c r="H477" s="5" t="s">
        <v>8</v>
      </c>
      <c r="I477" s="8">
        <v>39.451479999999997</v>
      </c>
      <c r="J477" s="9">
        <v>47.018990000000002</v>
      </c>
      <c r="K477" s="9">
        <v>48.54757</v>
      </c>
      <c r="L477" s="14">
        <v>40.397579999999998</v>
      </c>
      <c r="M477" s="9">
        <v>47.448090000000001</v>
      </c>
      <c r="N477" s="9">
        <v>49.06606</v>
      </c>
      <c r="O477" s="14">
        <v>40.523240000000001</v>
      </c>
      <c r="P477" s="9">
        <v>47.47654</v>
      </c>
      <c r="Q477" s="9">
        <v>49.095379999999999</v>
      </c>
      <c r="R477" s="23">
        <v>35.405369999999998</v>
      </c>
      <c r="S477" s="8">
        <v>0.12565999999999999</v>
      </c>
      <c r="T477" s="9">
        <v>2.845E-2</v>
      </c>
      <c r="U477" s="24">
        <v>2.9319999999999999E-2</v>
      </c>
    </row>
    <row r="478" spans="1:21" ht="12" customHeight="1" x14ac:dyDescent="0.25">
      <c r="A478" s="5">
        <v>1173</v>
      </c>
      <c r="B478" s="19" t="s">
        <v>237</v>
      </c>
      <c r="C478" s="19" t="s">
        <v>12</v>
      </c>
      <c r="D478" s="5" t="s">
        <v>238</v>
      </c>
      <c r="E478" s="6">
        <v>367051.84479837999</v>
      </c>
      <c r="F478" s="6">
        <v>6548298.0117760999</v>
      </c>
      <c r="G478" s="7" t="str">
        <f>HYPERLINK("https://minkarta.lantmateriet.se/?e=367051,84479838&amp;n=6548298,0117761&amp;z=12&amp;profile=flygbildmedgranser&amp;background=2&amp;boundaries=true","Visa")</f>
        <v>Visa</v>
      </c>
      <c r="H478" s="5" t="s">
        <v>9</v>
      </c>
      <c r="I478" s="8">
        <v>37.325470000000003</v>
      </c>
      <c r="J478" s="9">
        <v>40.765880000000003</v>
      </c>
      <c r="K478" s="9">
        <v>42.219839999999998</v>
      </c>
      <c r="L478" s="14">
        <v>38.271799999999999</v>
      </c>
      <c r="M478" s="9">
        <v>41.265369999999997</v>
      </c>
      <c r="N478" s="9">
        <v>44.73603</v>
      </c>
      <c r="O478" s="14">
        <v>38.876829999999998</v>
      </c>
      <c r="P478" s="9">
        <v>42.250190000000003</v>
      </c>
      <c r="Q478" s="9">
        <v>45.104770000000002</v>
      </c>
      <c r="R478" s="23">
        <v>33.26267</v>
      </c>
      <c r="S478" s="8">
        <v>0.60502999999999996</v>
      </c>
      <c r="T478" s="9">
        <v>0.98482000000000003</v>
      </c>
      <c r="U478" s="24">
        <v>0.36874000000000001</v>
      </c>
    </row>
    <row r="479" spans="1:21" ht="12" customHeight="1" x14ac:dyDescent="0.25">
      <c r="A479" s="5">
        <v>1174</v>
      </c>
      <c r="B479" s="19" t="s">
        <v>237</v>
      </c>
      <c r="C479" s="19" t="s">
        <v>12</v>
      </c>
      <c r="D479" s="5" t="s">
        <v>238</v>
      </c>
      <c r="E479" s="6">
        <v>367043.30172679003</v>
      </c>
      <c r="F479" s="6">
        <v>6548297.5717992</v>
      </c>
      <c r="G479" s="7" t="str">
        <f>HYPERLINK("https://minkarta.lantmateriet.se/?e=367043,30172679&amp;n=6548297,5717992&amp;z=12&amp;profile=flygbildmedgranser&amp;background=2&amp;boundaries=true","Visa")</f>
        <v>Visa</v>
      </c>
      <c r="H479" s="5" t="s">
        <v>10</v>
      </c>
      <c r="I479" s="8">
        <v>38.296469999999999</v>
      </c>
      <c r="J479" s="9">
        <v>42.874519999999997</v>
      </c>
      <c r="K479" s="9">
        <v>44.403100000000002</v>
      </c>
      <c r="L479" s="14">
        <v>39.224350000000001</v>
      </c>
      <c r="M479" s="9">
        <v>43.303620000000002</v>
      </c>
      <c r="N479" s="9">
        <v>44.921590000000002</v>
      </c>
      <c r="O479" s="14">
        <v>39.447749999999999</v>
      </c>
      <c r="P479" s="9">
        <v>43.332070000000002</v>
      </c>
      <c r="Q479" s="9">
        <v>44.95091</v>
      </c>
      <c r="R479" s="23">
        <v>32.387219999999999</v>
      </c>
      <c r="S479" s="8">
        <v>0.22339999999999999</v>
      </c>
      <c r="T479" s="9">
        <v>2.845E-2</v>
      </c>
      <c r="U479" s="24">
        <v>2.9319999999999999E-2</v>
      </c>
    </row>
    <row r="480" spans="1:21" ht="12" customHeight="1" x14ac:dyDescent="0.25">
      <c r="A480" s="5">
        <v>1175</v>
      </c>
      <c r="B480" s="19" t="s">
        <v>239</v>
      </c>
      <c r="C480" s="19" t="s">
        <v>12</v>
      </c>
      <c r="D480" s="5" t="s">
        <v>240</v>
      </c>
      <c r="E480" s="6">
        <v>367046.73128319002</v>
      </c>
      <c r="F480" s="6">
        <v>6548273.3347193999</v>
      </c>
      <c r="G480" s="7" t="str">
        <f>HYPERLINK("https://minkarta.lantmateriet.se/?e=367046,73128319&amp;n=6548273,3347194&amp;z=12&amp;profile=flygbildmedgranser&amp;background=2&amp;boundaries=true","Visa")</f>
        <v>Visa</v>
      </c>
      <c r="H480" s="5" t="s">
        <v>8</v>
      </c>
      <c r="I480" s="8">
        <v>39.33372</v>
      </c>
      <c r="J480" s="9">
        <v>47.241289999999999</v>
      </c>
      <c r="K480" s="9">
        <v>48.769869999999997</v>
      </c>
      <c r="L480" s="14">
        <v>40.299210000000002</v>
      </c>
      <c r="M480" s="9">
        <v>47.670389999999998</v>
      </c>
      <c r="N480" s="9">
        <v>49.288359999999997</v>
      </c>
      <c r="O480" s="14">
        <v>40.519849999999998</v>
      </c>
      <c r="P480" s="9">
        <v>47.698839999999997</v>
      </c>
      <c r="Q480" s="9">
        <v>49.317680000000003</v>
      </c>
      <c r="R480" s="23">
        <v>24.264220000000002</v>
      </c>
      <c r="S480" s="8">
        <v>0.22064</v>
      </c>
      <c r="T480" s="9">
        <v>2.845E-2</v>
      </c>
      <c r="U480" s="24">
        <v>2.9319999999999999E-2</v>
      </c>
    </row>
    <row r="481" spans="1:21" ht="12" customHeight="1" x14ac:dyDescent="0.25">
      <c r="A481" s="5">
        <v>1176</v>
      </c>
      <c r="B481" s="19" t="s">
        <v>239</v>
      </c>
      <c r="C481" s="19" t="s">
        <v>12</v>
      </c>
      <c r="D481" s="5" t="s">
        <v>240</v>
      </c>
      <c r="E481" s="6">
        <v>367042.77428451</v>
      </c>
      <c r="F481" s="6">
        <v>6548280.1337836999</v>
      </c>
      <c r="G481" s="7" t="str">
        <f>HYPERLINK("https://minkarta.lantmateriet.se/?e=367042,77428451&amp;n=6548280,1337837&amp;z=12&amp;profile=flygbildmedgranser&amp;background=2&amp;boundaries=true","Visa")</f>
        <v>Visa</v>
      </c>
      <c r="H481" s="5" t="s">
        <v>9</v>
      </c>
      <c r="I481" s="8">
        <v>37.871009999999998</v>
      </c>
      <c r="J481" s="9">
        <v>40.625450000000001</v>
      </c>
      <c r="K481" s="9">
        <v>42.154029999999999</v>
      </c>
      <c r="L481" s="14">
        <v>38.811410000000002</v>
      </c>
      <c r="M481" s="9">
        <v>41.054560000000002</v>
      </c>
      <c r="N481" s="9">
        <v>42.672519999999999</v>
      </c>
      <c r="O481" s="14">
        <v>39.310250000000003</v>
      </c>
      <c r="P481" s="9">
        <v>41.083010000000002</v>
      </c>
      <c r="Q481" s="9">
        <v>42.701839999999997</v>
      </c>
      <c r="R481" s="23">
        <v>32.204230000000003</v>
      </c>
      <c r="S481" s="8">
        <v>0.49884000000000001</v>
      </c>
      <c r="T481" s="9">
        <v>2.845E-2</v>
      </c>
      <c r="U481" s="24">
        <v>2.9319999999999999E-2</v>
      </c>
    </row>
    <row r="482" spans="1:21" ht="12" customHeight="1" x14ac:dyDescent="0.25">
      <c r="A482" s="5">
        <v>1178</v>
      </c>
      <c r="B482" s="19" t="s">
        <v>239</v>
      </c>
      <c r="C482" s="19" t="s">
        <v>12</v>
      </c>
      <c r="D482" s="5" t="s">
        <v>240</v>
      </c>
      <c r="E482" s="6">
        <v>367038.87371576001</v>
      </c>
      <c r="F482" s="6">
        <v>6548272.9727212004</v>
      </c>
      <c r="G482" s="7" t="str">
        <f>HYPERLINK("https://minkarta.lantmateriet.se/?e=367038,87371576&amp;n=6548272,9727212&amp;z=12&amp;profile=flygbildmedgranser&amp;background=2&amp;boundaries=true","Visa")</f>
        <v>Visa</v>
      </c>
      <c r="H482" s="5" t="s">
        <v>11</v>
      </c>
      <c r="I482" s="8">
        <v>39.642699999999998</v>
      </c>
      <c r="J482" s="9">
        <v>42.975520000000003</v>
      </c>
      <c r="K482" s="9">
        <v>44.504100000000001</v>
      </c>
      <c r="L482" s="14">
        <v>40.57132</v>
      </c>
      <c r="M482" s="9">
        <v>43.404629999999997</v>
      </c>
      <c r="N482" s="9">
        <v>45.022599999999997</v>
      </c>
      <c r="O482" s="14">
        <v>40.671819999999997</v>
      </c>
      <c r="P482" s="9">
        <v>43.433079999999997</v>
      </c>
      <c r="Q482" s="9">
        <v>45.051920000000003</v>
      </c>
      <c r="R482" s="23">
        <v>39.31156</v>
      </c>
      <c r="S482" s="8">
        <v>0.10050000000000001</v>
      </c>
      <c r="T482" s="9">
        <v>2.845E-2</v>
      </c>
      <c r="U482" s="24">
        <v>2.9319999999999999E-2</v>
      </c>
    </row>
    <row r="483" spans="1:21" ht="12" customHeight="1" x14ac:dyDescent="0.25">
      <c r="A483" s="5">
        <v>1179</v>
      </c>
      <c r="B483" s="19" t="s">
        <v>241</v>
      </c>
      <c r="C483" s="19" t="s">
        <v>12</v>
      </c>
      <c r="D483" s="5" t="s">
        <v>242</v>
      </c>
      <c r="E483" s="6">
        <v>367037.94076463999</v>
      </c>
      <c r="F483" s="6">
        <v>6548257.2251855005</v>
      </c>
      <c r="G483" s="7" t="str">
        <f>HYPERLINK("https://minkarta.lantmateriet.se/?e=367037,94076464&amp;n=6548257,2251855&amp;z=12&amp;profile=flygbildmedgranser&amp;background=2&amp;boundaries=true","Visa")</f>
        <v>Visa</v>
      </c>
      <c r="H483" s="5" t="s">
        <v>8</v>
      </c>
      <c r="I483" s="8">
        <v>39.273609999999998</v>
      </c>
      <c r="J483" s="9">
        <v>47.434220000000003</v>
      </c>
      <c r="K483" s="9">
        <v>48.962800000000001</v>
      </c>
      <c r="L483" s="14">
        <v>40.216250000000002</v>
      </c>
      <c r="M483" s="9">
        <v>47.863329999999998</v>
      </c>
      <c r="N483" s="9">
        <v>49.481290000000001</v>
      </c>
      <c r="O483" s="14">
        <v>40.353879999999997</v>
      </c>
      <c r="P483" s="9">
        <v>47.891779999999997</v>
      </c>
      <c r="Q483" s="9">
        <v>49.51061</v>
      </c>
      <c r="R483" s="23">
        <v>27.82208</v>
      </c>
      <c r="S483" s="8">
        <v>0.13763</v>
      </c>
      <c r="T483" s="9">
        <v>2.845E-2</v>
      </c>
      <c r="U483" s="24">
        <v>2.9319999999999999E-2</v>
      </c>
    </row>
    <row r="484" spans="1:21" ht="12" customHeight="1" x14ac:dyDescent="0.25">
      <c r="A484" s="5">
        <v>1180</v>
      </c>
      <c r="B484" s="19" t="s">
        <v>241</v>
      </c>
      <c r="C484" s="19" t="s">
        <v>12</v>
      </c>
      <c r="D484" s="5" t="s">
        <v>242</v>
      </c>
      <c r="E484" s="6">
        <v>367034.42281820998</v>
      </c>
      <c r="F484" s="6">
        <v>6548263.7382651996</v>
      </c>
      <c r="G484" s="7" t="str">
        <f>HYPERLINK("https://minkarta.lantmateriet.se/?e=367034,42281821&amp;n=6548263,7382652&amp;z=12&amp;profile=flygbildmedgranser&amp;background=2&amp;boundaries=true","Visa")</f>
        <v>Visa</v>
      </c>
      <c r="H484" s="5" t="s">
        <v>9</v>
      </c>
      <c r="I484" s="8">
        <v>38.371690000000001</v>
      </c>
      <c r="J484" s="9">
        <v>39.917720000000003</v>
      </c>
      <c r="K484" s="9">
        <v>41.446300000000001</v>
      </c>
      <c r="L484" s="14">
        <v>39.30574</v>
      </c>
      <c r="M484" s="9">
        <v>40.346829999999997</v>
      </c>
      <c r="N484" s="9">
        <v>42.217030000000001</v>
      </c>
      <c r="O484" s="14">
        <v>39.488190000000003</v>
      </c>
      <c r="P484" s="9">
        <v>40.375279999999997</v>
      </c>
      <c r="Q484" s="9">
        <v>42.585769999999997</v>
      </c>
      <c r="R484" s="23">
        <v>31.676469999999998</v>
      </c>
      <c r="S484" s="8">
        <v>0.18245</v>
      </c>
      <c r="T484" s="9">
        <v>2.845E-2</v>
      </c>
      <c r="U484" s="24">
        <v>0.36874000000000001</v>
      </c>
    </row>
    <row r="485" spans="1:21" ht="12" customHeight="1" x14ac:dyDescent="0.25">
      <c r="A485" s="5">
        <v>1181</v>
      </c>
      <c r="B485" s="19" t="s">
        <v>241</v>
      </c>
      <c r="C485" s="19" t="s">
        <v>12</v>
      </c>
      <c r="D485" s="5" t="s">
        <v>242</v>
      </c>
      <c r="E485" s="6">
        <v>367027.03923764999</v>
      </c>
      <c r="F485" s="6">
        <v>6548263.2183189997</v>
      </c>
      <c r="G485" s="7" t="str">
        <f>HYPERLINK("https://minkarta.lantmateriet.se/?e=367027,03923765&amp;n=6548263,218319&amp;z=12&amp;profile=flygbildmedgranser&amp;background=2&amp;boundaries=true","Visa")</f>
        <v>Visa</v>
      </c>
      <c r="H485" s="5" t="s">
        <v>10</v>
      </c>
      <c r="I485" s="8">
        <v>40.461500000000001</v>
      </c>
      <c r="J485" s="9">
        <v>48.437150000000003</v>
      </c>
      <c r="K485" s="9">
        <v>49.965730000000001</v>
      </c>
      <c r="L485" s="14">
        <v>41.393689999999999</v>
      </c>
      <c r="M485" s="9">
        <v>48.866259999999997</v>
      </c>
      <c r="N485" s="9">
        <v>50.484220000000001</v>
      </c>
      <c r="O485" s="14">
        <v>41.730820000000001</v>
      </c>
      <c r="P485" s="9">
        <v>48.894710000000003</v>
      </c>
      <c r="Q485" s="9">
        <v>50.513539999999999</v>
      </c>
      <c r="R485" s="23">
        <v>40.380429999999997</v>
      </c>
      <c r="S485" s="8">
        <v>0.33712999999999999</v>
      </c>
      <c r="T485" s="9">
        <v>2.845E-2</v>
      </c>
      <c r="U485" s="24">
        <v>2.9319999999999999E-2</v>
      </c>
    </row>
    <row r="486" spans="1:21" ht="12" customHeight="1" x14ac:dyDescent="0.25">
      <c r="A486" s="5">
        <v>1182</v>
      </c>
      <c r="B486" s="19" t="s">
        <v>241</v>
      </c>
      <c r="C486" s="19" t="s">
        <v>12</v>
      </c>
      <c r="D486" s="5" t="s">
        <v>242</v>
      </c>
      <c r="E486" s="6">
        <v>367030.55718316999</v>
      </c>
      <c r="F486" s="6">
        <v>6548256.7052391004</v>
      </c>
      <c r="G486" s="7" t="str">
        <f>HYPERLINK("https://minkarta.lantmateriet.se/?e=367030,55718317&amp;n=6548256,7052391&amp;z=12&amp;profile=flygbildmedgranser&amp;background=2&amp;boundaries=true","Visa")</f>
        <v>Visa</v>
      </c>
      <c r="H486" s="5" t="s">
        <v>11</v>
      </c>
      <c r="I486" s="8">
        <v>38.785319999999999</v>
      </c>
      <c r="J486" s="9">
        <v>41.600819999999999</v>
      </c>
      <c r="K486" s="9">
        <v>43.129399999999997</v>
      </c>
      <c r="L486" s="14">
        <v>39.716349999999998</v>
      </c>
      <c r="M486" s="9">
        <v>42.02993</v>
      </c>
      <c r="N486" s="9">
        <v>43.647889999999997</v>
      </c>
      <c r="O486" s="14">
        <v>39.857869999999998</v>
      </c>
      <c r="P486" s="9">
        <v>42.05838</v>
      </c>
      <c r="Q486" s="9">
        <v>43.677210000000002</v>
      </c>
      <c r="R486" s="23">
        <v>35.431080000000001</v>
      </c>
      <c r="S486" s="8">
        <v>0.14152000000000001</v>
      </c>
      <c r="T486" s="9">
        <v>2.845E-2</v>
      </c>
      <c r="U486" s="24">
        <v>2.9319999999999999E-2</v>
      </c>
    </row>
    <row r="487" spans="1:21" ht="12" customHeight="1" x14ac:dyDescent="0.25">
      <c r="A487" s="5">
        <v>1183</v>
      </c>
      <c r="B487" s="19" t="s">
        <v>243</v>
      </c>
      <c r="C487" s="19" t="s">
        <v>12</v>
      </c>
      <c r="D487" s="5" t="s">
        <v>244</v>
      </c>
      <c r="E487" s="6">
        <v>367029.01429508999</v>
      </c>
      <c r="F487" s="6">
        <v>6548240.8497412996</v>
      </c>
      <c r="G487" s="7" t="str">
        <f>HYPERLINK("https://minkarta.lantmateriet.se/?e=367029,01429509&amp;n=6548240,8497413&amp;z=12&amp;profile=flygbildmedgranser&amp;background=2&amp;boundaries=true","Visa")</f>
        <v>Visa</v>
      </c>
      <c r="H487" s="5" t="s">
        <v>8</v>
      </c>
      <c r="I487" s="8">
        <v>38.707810000000002</v>
      </c>
      <c r="J487" s="9">
        <v>43.297289999999997</v>
      </c>
      <c r="K487" s="9">
        <v>44.825870000000002</v>
      </c>
      <c r="L487" s="14">
        <v>39.652830000000002</v>
      </c>
      <c r="M487" s="9">
        <v>43.726399999999998</v>
      </c>
      <c r="N487" s="9">
        <v>45.344360000000002</v>
      </c>
      <c r="O487" s="14">
        <v>39.767099999999999</v>
      </c>
      <c r="P487" s="9">
        <v>43.754849999999998</v>
      </c>
      <c r="Q487" s="9">
        <v>45.37368</v>
      </c>
      <c r="R487" s="23">
        <v>24.112770000000001</v>
      </c>
      <c r="S487" s="8">
        <v>0.11427</v>
      </c>
      <c r="T487" s="9">
        <v>2.845E-2</v>
      </c>
      <c r="U487" s="24">
        <v>2.9319999999999999E-2</v>
      </c>
    </row>
    <row r="488" spans="1:21" ht="12" customHeight="1" x14ac:dyDescent="0.25">
      <c r="A488" s="5">
        <v>1184</v>
      </c>
      <c r="B488" s="19" t="s">
        <v>243</v>
      </c>
      <c r="C488" s="19" t="s">
        <v>12</v>
      </c>
      <c r="D488" s="5" t="s">
        <v>244</v>
      </c>
      <c r="E488" s="6">
        <v>367025.44226182997</v>
      </c>
      <c r="F488" s="6">
        <v>6548247.3057960002</v>
      </c>
      <c r="G488" s="7" t="str">
        <f>HYPERLINK("https://minkarta.lantmateriet.se/?e=367025,44226183&amp;n=6548247,305796&amp;z=12&amp;profile=flygbildmedgranser&amp;background=2&amp;boundaries=true","Visa")</f>
        <v>Visa</v>
      </c>
      <c r="H488" s="5" t="s">
        <v>9</v>
      </c>
      <c r="I488" s="8">
        <v>38.874389999999998</v>
      </c>
      <c r="J488" s="9">
        <v>40.295099999999998</v>
      </c>
      <c r="K488" s="9">
        <v>41.823680000000003</v>
      </c>
      <c r="L488" s="14">
        <v>39.80921</v>
      </c>
      <c r="M488" s="9">
        <v>40.724209999999999</v>
      </c>
      <c r="N488" s="9">
        <v>42.342170000000003</v>
      </c>
      <c r="O488" s="14">
        <v>39.867519999999999</v>
      </c>
      <c r="P488" s="9">
        <v>40.752659999999999</v>
      </c>
      <c r="Q488" s="9">
        <v>42.371490000000001</v>
      </c>
      <c r="R488" s="23">
        <v>28.12903</v>
      </c>
      <c r="S488" s="8">
        <v>5.8310000000000001E-2</v>
      </c>
      <c r="T488" s="9">
        <v>2.845E-2</v>
      </c>
      <c r="U488" s="24">
        <v>2.9319999999999999E-2</v>
      </c>
    </row>
    <row r="489" spans="1:21" ht="12" customHeight="1" x14ac:dyDescent="0.25">
      <c r="A489" s="5">
        <v>1185</v>
      </c>
      <c r="B489" s="19" t="s">
        <v>243</v>
      </c>
      <c r="C489" s="19" t="s">
        <v>12</v>
      </c>
      <c r="D489" s="5" t="s">
        <v>244</v>
      </c>
      <c r="E489" s="6">
        <v>367018.08420667</v>
      </c>
      <c r="F489" s="6">
        <v>6548246.7677622</v>
      </c>
      <c r="G489" s="7" t="str">
        <f>HYPERLINK("https://minkarta.lantmateriet.se/?e=367018,08420667&amp;n=6548246,7677622&amp;z=12&amp;profile=flygbildmedgranser&amp;background=2&amp;boundaries=true","Visa")</f>
        <v>Visa</v>
      </c>
      <c r="H489" s="5" t="s">
        <v>10</v>
      </c>
      <c r="I489" s="8">
        <v>40.623989999999999</v>
      </c>
      <c r="J489" s="9">
        <v>46.987580000000001</v>
      </c>
      <c r="K489" s="9">
        <v>48.516159999999999</v>
      </c>
      <c r="L489" s="14">
        <v>41.554450000000003</v>
      </c>
      <c r="M489" s="9">
        <v>47.416690000000003</v>
      </c>
      <c r="N489" s="9">
        <v>49.034660000000002</v>
      </c>
      <c r="O489" s="14">
        <v>41.799509999999998</v>
      </c>
      <c r="P489" s="9">
        <v>47.445140000000002</v>
      </c>
      <c r="Q489" s="9">
        <v>49.063980000000001</v>
      </c>
      <c r="R489" s="23">
        <v>38.096440000000001</v>
      </c>
      <c r="S489" s="8">
        <v>0.24506</v>
      </c>
      <c r="T489" s="9">
        <v>2.845E-2</v>
      </c>
      <c r="U489" s="24">
        <v>2.9319999999999999E-2</v>
      </c>
    </row>
    <row r="490" spans="1:21" ht="12" customHeight="1" x14ac:dyDescent="0.25">
      <c r="A490" s="5">
        <v>1186</v>
      </c>
      <c r="B490" s="19" t="s">
        <v>243</v>
      </c>
      <c r="C490" s="19" t="s">
        <v>12</v>
      </c>
      <c r="D490" s="5" t="s">
        <v>244</v>
      </c>
      <c r="E490" s="6">
        <v>367021.65623920999</v>
      </c>
      <c r="F490" s="6">
        <v>6548240.3117084997</v>
      </c>
      <c r="G490" s="7" t="str">
        <f>HYPERLINK("https://minkarta.lantmateriet.se/?e=367021,65623921&amp;n=6548240,3117085&amp;z=12&amp;profile=flygbildmedgranser&amp;background=2&amp;boundaries=true","Visa")</f>
        <v>Visa</v>
      </c>
      <c r="H490" s="5" t="s">
        <v>11</v>
      </c>
      <c r="I490" s="8">
        <v>39.425640000000001</v>
      </c>
      <c r="J490" s="9">
        <v>42.999450000000003</v>
      </c>
      <c r="K490" s="9">
        <v>44.528030000000001</v>
      </c>
      <c r="L490" s="14">
        <v>40.359250000000003</v>
      </c>
      <c r="M490" s="9">
        <v>43.427950000000003</v>
      </c>
      <c r="N490" s="9">
        <v>45.045909999999999</v>
      </c>
      <c r="O490" s="14">
        <v>40.58522</v>
      </c>
      <c r="P490" s="9">
        <v>43.456400000000002</v>
      </c>
      <c r="Q490" s="9">
        <v>45.075229999999998</v>
      </c>
      <c r="R490" s="23">
        <v>36.565100000000001</v>
      </c>
      <c r="S490" s="8">
        <v>0.22597</v>
      </c>
      <c r="T490" s="9">
        <v>2.845E-2</v>
      </c>
      <c r="U490" s="24">
        <v>2.9319999999999999E-2</v>
      </c>
    </row>
    <row r="491" spans="1:21" ht="12" customHeight="1" x14ac:dyDescent="0.25">
      <c r="A491" s="5">
        <v>1187</v>
      </c>
      <c r="B491" s="19" t="s">
        <v>245</v>
      </c>
      <c r="C491" s="19" t="s">
        <v>12</v>
      </c>
      <c r="D491" s="5" t="s">
        <v>246</v>
      </c>
      <c r="E491" s="6">
        <v>367020.20030447003</v>
      </c>
      <c r="F491" s="6">
        <v>6548224.5502586998</v>
      </c>
      <c r="G491" s="7" t="str">
        <f>HYPERLINK("https://minkarta.lantmateriet.se/?e=367020,20030447&amp;n=6548224,5502587&amp;z=12&amp;profile=flygbildmedgranser&amp;background=2&amp;boundaries=true","Visa")</f>
        <v>Visa</v>
      </c>
      <c r="H491" s="5" t="s">
        <v>8</v>
      </c>
      <c r="I491" s="8">
        <v>39.308689999999999</v>
      </c>
      <c r="J491" s="9">
        <v>43.391120000000001</v>
      </c>
      <c r="K491" s="9">
        <v>44.919699999999999</v>
      </c>
      <c r="L491" s="14">
        <v>40.246540000000003</v>
      </c>
      <c r="M491" s="9">
        <v>43.820230000000002</v>
      </c>
      <c r="N491" s="9">
        <v>45.438189999999999</v>
      </c>
      <c r="O491" s="14">
        <v>40.241810000000001</v>
      </c>
      <c r="P491" s="9">
        <v>43.848680000000002</v>
      </c>
      <c r="Q491" s="9">
        <v>45.467509999999997</v>
      </c>
      <c r="R491" s="23">
        <v>24.540959999999998</v>
      </c>
      <c r="S491" s="8">
        <v>-4.7299999999999998E-3</v>
      </c>
      <c r="T491" s="9">
        <v>2.845E-2</v>
      </c>
      <c r="U491" s="24">
        <v>2.9319999999999999E-2</v>
      </c>
    </row>
    <row r="492" spans="1:21" ht="12" customHeight="1" x14ac:dyDescent="0.25">
      <c r="A492" s="5">
        <v>1188</v>
      </c>
      <c r="B492" s="19" t="s">
        <v>245</v>
      </c>
      <c r="C492" s="19" t="s">
        <v>12</v>
      </c>
      <c r="D492" s="5" t="s">
        <v>246</v>
      </c>
      <c r="E492" s="6">
        <v>367016.62774367997</v>
      </c>
      <c r="F492" s="6">
        <v>6548231.0253058001</v>
      </c>
      <c r="G492" s="7" t="str">
        <f>HYPERLINK("https://minkarta.lantmateriet.se/?e=367016,62774368&amp;n=6548231,0253058&amp;z=12&amp;profile=flygbildmedgranser&amp;background=2&amp;boundaries=true","Visa")</f>
        <v>Visa</v>
      </c>
      <c r="H492" s="5" t="s">
        <v>9</v>
      </c>
      <c r="I492" s="8">
        <v>39.353290000000001</v>
      </c>
      <c r="J492" s="9">
        <v>41.239409999999999</v>
      </c>
      <c r="K492" s="9">
        <v>42.767989999999998</v>
      </c>
      <c r="L492" s="14">
        <v>40.286079999999998</v>
      </c>
      <c r="M492" s="9">
        <v>41.668520000000001</v>
      </c>
      <c r="N492" s="9">
        <v>43.286479999999997</v>
      </c>
      <c r="O492" s="14">
        <v>40.379350000000002</v>
      </c>
      <c r="P492" s="9">
        <v>41.69697</v>
      </c>
      <c r="Q492" s="9">
        <v>43.315800000000003</v>
      </c>
      <c r="R492" s="23">
        <v>26.65494</v>
      </c>
      <c r="S492" s="8">
        <v>9.3270000000000006E-2</v>
      </c>
      <c r="T492" s="9">
        <v>2.845E-2</v>
      </c>
      <c r="U492" s="24">
        <v>2.9319999999999999E-2</v>
      </c>
    </row>
    <row r="493" spans="1:21" ht="12" customHeight="1" x14ac:dyDescent="0.25">
      <c r="A493" s="5">
        <v>1189</v>
      </c>
      <c r="B493" s="19" t="s">
        <v>245</v>
      </c>
      <c r="C493" s="19" t="s">
        <v>12</v>
      </c>
      <c r="D493" s="5" t="s">
        <v>246</v>
      </c>
      <c r="E493" s="6">
        <v>367009.25519728998</v>
      </c>
      <c r="F493" s="6">
        <v>6548230.4472449003</v>
      </c>
      <c r="G493" s="7" t="str">
        <f>HYPERLINK("https://minkarta.lantmateriet.se/?e=367009,25519729&amp;n=6548230,4472449&amp;z=12&amp;profile=flygbildmedgranser&amp;background=2&amp;boundaries=true","Visa")</f>
        <v>Visa</v>
      </c>
      <c r="H493" s="5" t="s">
        <v>10</v>
      </c>
      <c r="I493" s="8">
        <v>41.797629999999998</v>
      </c>
      <c r="J493" s="9">
        <v>48.342149999999997</v>
      </c>
      <c r="K493" s="9">
        <v>49.870730000000002</v>
      </c>
      <c r="L493" s="14">
        <v>42.72813</v>
      </c>
      <c r="M493" s="9">
        <v>48.771259999999998</v>
      </c>
      <c r="N493" s="9">
        <v>50.389220000000002</v>
      </c>
      <c r="O493" s="14">
        <v>42.941809999999997</v>
      </c>
      <c r="P493" s="9">
        <v>48.799709999999997</v>
      </c>
      <c r="Q493" s="9">
        <v>50.41854</v>
      </c>
      <c r="R493" s="23">
        <v>38.082059999999998</v>
      </c>
      <c r="S493" s="8">
        <v>0.21368000000000001</v>
      </c>
      <c r="T493" s="9">
        <v>2.845E-2</v>
      </c>
      <c r="U493" s="24">
        <v>2.9319999999999999E-2</v>
      </c>
    </row>
    <row r="494" spans="1:21" ht="12" customHeight="1" x14ac:dyDescent="0.25">
      <c r="A494" s="5">
        <v>1190</v>
      </c>
      <c r="B494" s="19" t="s">
        <v>245</v>
      </c>
      <c r="C494" s="19" t="s">
        <v>12</v>
      </c>
      <c r="D494" s="5" t="s">
        <v>246</v>
      </c>
      <c r="E494" s="6">
        <v>367012.82775736001</v>
      </c>
      <c r="F494" s="6">
        <v>6548223.9721986996</v>
      </c>
      <c r="G494" s="7" t="str">
        <f>HYPERLINK("https://minkarta.lantmateriet.se/?e=367012,82775736&amp;n=6548223,9721987&amp;z=12&amp;profile=flygbildmedgranser&amp;background=2&amp;boundaries=true","Visa")</f>
        <v>Visa</v>
      </c>
      <c r="H494" s="5" t="s">
        <v>11</v>
      </c>
      <c r="I494" s="8">
        <v>40.080150000000003</v>
      </c>
      <c r="J494" s="9">
        <v>44.907859999999999</v>
      </c>
      <c r="K494" s="9">
        <v>46.436439999999997</v>
      </c>
      <c r="L494" s="14">
        <v>41.012770000000003</v>
      </c>
      <c r="M494" s="9">
        <v>45.336970000000001</v>
      </c>
      <c r="N494" s="9">
        <v>46.954929999999997</v>
      </c>
      <c r="O494" s="14">
        <v>41.210990000000002</v>
      </c>
      <c r="P494" s="9">
        <v>45.36542</v>
      </c>
      <c r="Q494" s="9">
        <v>46.984250000000003</v>
      </c>
      <c r="R494" s="23">
        <v>34.670589999999997</v>
      </c>
      <c r="S494" s="8">
        <v>0.19822000000000001</v>
      </c>
      <c r="T494" s="9">
        <v>2.845E-2</v>
      </c>
      <c r="U494" s="24">
        <v>2.9319999999999999E-2</v>
      </c>
    </row>
    <row r="495" spans="1:21" ht="12" customHeight="1" x14ac:dyDescent="0.25">
      <c r="A495" s="5">
        <v>1191</v>
      </c>
      <c r="B495" s="19" t="s">
        <v>247</v>
      </c>
      <c r="C495" s="19" t="s">
        <v>12</v>
      </c>
      <c r="D495" s="5" t="s">
        <v>248</v>
      </c>
      <c r="E495" s="6">
        <v>367011.30829104001</v>
      </c>
      <c r="F495" s="6">
        <v>6548208.1707338998</v>
      </c>
      <c r="G495" s="7" t="str">
        <f>HYPERLINK("https://minkarta.lantmateriet.se/?e=367011,30829104&amp;n=6548208,1707339&amp;z=12&amp;profile=flygbildmedgranser&amp;background=2&amp;boundaries=true","Visa")</f>
        <v>Visa</v>
      </c>
      <c r="H495" s="5" t="s">
        <v>8</v>
      </c>
      <c r="I495" s="8">
        <v>38.727510000000002</v>
      </c>
      <c r="J495" s="9">
        <v>43.288809999999998</v>
      </c>
      <c r="K495" s="9">
        <v>44.817390000000003</v>
      </c>
      <c r="L495" s="14">
        <v>39.665590000000002</v>
      </c>
      <c r="M495" s="9">
        <v>43.717919999999999</v>
      </c>
      <c r="N495" s="9">
        <v>45.335880000000003</v>
      </c>
      <c r="O495" s="14">
        <v>39.825240000000001</v>
      </c>
      <c r="P495" s="9">
        <v>43.746369999999999</v>
      </c>
      <c r="Q495" s="9">
        <v>45.365200000000002</v>
      </c>
      <c r="R495" s="23">
        <v>23.100429999999999</v>
      </c>
      <c r="S495" s="8">
        <v>0.15964999999999999</v>
      </c>
      <c r="T495" s="9">
        <v>2.845E-2</v>
      </c>
      <c r="U495" s="24">
        <v>2.9319999999999999E-2</v>
      </c>
    </row>
    <row r="496" spans="1:21" ht="12" customHeight="1" x14ac:dyDescent="0.25">
      <c r="A496" s="5">
        <v>1193</v>
      </c>
      <c r="B496" s="19" t="s">
        <v>247</v>
      </c>
      <c r="C496" s="19" t="s">
        <v>12</v>
      </c>
      <c r="D496" s="5" t="s">
        <v>248</v>
      </c>
      <c r="E496" s="6">
        <v>367000.42171066999</v>
      </c>
      <c r="F496" s="6">
        <v>6548214.0757696005</v>
      </c>
      <c r="G496" s="7" t="str">
        <f>HYPERLINK("https://minkarta.lantmateriet.se/?e=367000,42171067&amp;n=6548214,0757696&amp;z=12&amp;profile=flygbildmedgranser&amp;background=2&amp;boundaries=true","Visa")</f>
        <v>Visa</v>
      </c>
      <c r="H496" s="5" t="s">
        <v>10</v>
      </c>
      <c r="I496" s="8">
        <v>41.624920000000003</v>
      </c>
      <c r="J496" s="9">
        <v>51.276539999999997</v>
      </c>
      <c r="K496" s="9">
        <v>52.805120000000002</v>
      </c>
      <c r="L496" s="14">
        <v>42.551630000000003</v>
      </c>
      <c r="M496" s="9">
        <v>51.705649999999999</v>
      </c>
      <c r="N496" s="9">
        <v>53.323619999999998</v>
      </c>
      <c r="O496" s="14">
        <v>42.779290000000003</v>
      </c>
      <c r="P496" s="9">
        <v>51.734099999999998</v>
      </c>
      <c r="Q496" s="9">
        <v>53.352939999999997</v>
      </c>
      <c r="R496" s="23">
        <v>38.743189999999998</v>
      </c>
      <c r="S496" s="8">
        <v>0.22766</v>
      </c>
      <c r="T496" s="9">
        <v>2.845E-2</v>
      </c>
      <c r="U496" s="24">
        <v>2.9319999999999999E-2</v>
      </c>
    </row>
    <row r="497" spans="1:21" ht="12" customHeight="1" x14ac:dyDescent="0.25">
      <c r="A497" s="5">
        <v>1194</v>
      </c>
      <c r="B497" s="19" t="s">
        <v>247</v>
      </c>
      <c r="C497" s="19" t="s">
        <v>12</v>
      </c>
      <c r="D497" s="5" t="s">
        <v>248</v>
      </c>
      <c r="E497" s="6">
        <v>367003.96573340002</v>
      </c>
      <c r="F497" s="6">
        <v>6548207.6217117002</v>
      </c>
      <c r="G497" s="7" t="str">
        <f>HYPERLINK("https://minkarta.lantmateriet.se/?e=367003,9657334&amp;n=6548207,6217117&amp;z=12&amp;profile=flygbildmedgranser&amp;background=2&amp;boundaries=true","Visa")</f>
        <v>Visa</v>
      </c>
      <c r="H497" s="5" t="s">
        <v>11</v>
      </c>
      <c r="I497" s="8">
        <v>39.877279999999999</v>
      </c>
      <c r="J497" s="9">
        <v>46.310270000000003</v>
      </c>
      <c r="K497" s="9">
        <v>47.838850000000001</v>
      </c>
      <c r="L497" s="14">
        <v>40.807290000000002</v>
      </c>
      <c r="M497" s="9">
        <v>46.739379999999997</v>
      </c>
      <c r="N497" s="9">
        <v>48.357340000000001</v>
      </c>
      <c r="O497" s="14">
        <v>40.982280000000003</v>
      </c>
      <c r="P497" s="9">
        <v>46.767829999999996</v>
      </c>
      <c r="Q497" s="9">
        <v>48.386659999999999</v>
      </c>
      <c r="R497" s="23">
        <v>31.849350000000001</v>
      </c>
      <c r="S497" s="8">
        <v>0.17499000000000001</v>
      </c>
      <c r="T497" s="9">
        <v>2.845E-2</v>
      </c>
      <c r="U497" s="24">
        <v>2.9319999999999999E-2</v>
      </c>
    </row>
    <row r="498" spans="1:21" ht="12" customHeight="1" x14ac:dyDescent="0.25">
      <c r="A498" s="5">
        <v>1195</v>
      </c>
      <c r="B498" s="19" t="s">
        <v>249</v>
      </c>
      <c r="C498" s="19" t="s">
        <v>12</v>
      </c>
      <c r="D498" s="5" t="s">
        <v>250</v>
      </c>
      <c r="E498" s="6">
        <v>367002.36930286</v>
      </c>
      <c r="F498" s="6">
        <v>6548191.7417556997</v>
      </c>
      <c r="G498" s="7" t="str">
        <f>HYPERLINK("https://minkarta.lantmateriet.se/?e=367002,36930286&amp;n=6548191,7417557&amp;z=12&amp;profile=flygbildmedgranser&amp;background=2&amp;boundaries=true","Visa")</f>
        <v>Visa</v>
      </c>
      <c r="H498" s="5" t="s">
        <v>8</v>
      </c>
      <c r="I498" s="8">
        <v>38.304009999999998</v>
      </c>
      <c r="J498" s="9">
        <v>43.016950000000001</v>
      </c>
      <c r="K498" s="9">
        <v>44.545529999999999</v>
      </c>
      <c r="L498" s="14">
        <v>39.242519999999999</v>
      </c>
      <c r="M498" s="9">
        <v>43.446060000000003</v>
      </c>
      <c r="N498" s="9">
        <v>45.064030000000002</v>
      </c>
      <c r="O498" s="14">
        <v>39.450449999999996</v>
      </c>
      <c r="P498" s="9">
        <v>43.474510000000002</v>
      </c>
      <c r="Q498" s="9">
        <v>45.093350000000001</v>
      </c>
      <c r="R498" s="23">
        <v>22.65756</v>
      </c>
      <c r="S498" s="8">
        <v>0.20793</v>
      </c>
      <c r="T498" s="9">
        <v>2.845E-2</v>
      </c>
      <c r="U498" s="24">
        <v>2.9319999999999999E-2</v>
      </c>
    </row>
    <row r="499" spans="1:21" ht="12" customHeight="1" x14ac:dyDescent="0.25">
      <c r="A499" s="5">
        <v>1197</v>
      </c>
      <c r="B499" s="19" t="s">
        <v>249</v>
      </c>
      <c r="C499" s="19" t="s">
        <v>12</v>
      </c>
      <c r="D499" s="5" t="s">
        <v>250</v>
      </c>
      <c r="E499" s="6">
        <v>366991.52469885</v>
      </c>
      <c r="F499" s="6">
        <v>6548197.5887478003</v>
      </c>
      <c r="G499" s="7" t="str">
        <f>HYPERLINK("https://minkarta.lantmateriet.se/?e=366991,52469885&amp;n=6548197,5887478&amp;z=12&amp;profile=flygbildmedgranser&amp;background=2&amp;boundaries=true","Visa")</f>
        <v>Visa</v>
      </c>
      <c r="H499" s="5" t="s">
        <v>10</v>
      </c>
      <c r="I499" s="8">
        <v>44.167389999999997</v>
      </c>
      <c r="J499" s="9">
        <v>51.899810000000002</v>
      </c>
      <c r="K499" s="9">
        <v>53.42839</v>
      </c>
      <c r="L499" s="14">
        <v>45.089779999999998</v>
      </c>
      <c r="M499" s="9">
        <v>52.328919999999997</v>
      </c>
      <c r="N499" s="9">
        <v>53.94688</v>
      </c>
      <c r="O499" s="14">
        <v>45.241</v>
      </c>
      <c r="P499" s="9">
        <v>52.357370000000003</v>
      </c>
      <c r="Q499" s="9">
        <v>53.976199999999999</v>
      </c>
      <c r="R499" s="23">
        <v>38.996020000000001</v>
      </c>
      <c r="S499" s="8">
        <v>0.15121999999999999</v>
      </c>
      <c r="T499" s="9">
        <v>2.845E-2</v>
      </c>
      <c r="U499" s="24">
        <v>2.9319999999999999E-2</v>
      </c>
    </row>
    <row r="500" spans="1:21" ht="12" customHeight="1" x14ac:dyDescent="0.25">
      <c r="A500" s="5">
        <v>1198</v>
      </c>
      <c r="B500" s="19" t="s">
        <v>249</v>
      </c>
      <c r="C500" s="19" t="s">
        <v>12</v>
      </c>
      <c r="D500" s="5" t="s">
        <v>250</v>
      </c>
      <c r="E500" s="6">
        <v>366995.06975554</v>
      </c>
      <c r="F500" s="6">
        <v>6548191.1836997001</v>
      </c>
      <c r="G500" s="7" t="str">
        <f>HYPERLINK("https://minkarta.lantmateriet.se/?e=366995,06975554&amp;n=6548191,1836997&amp;z=12&amp;profile=flygbildmedgranser&amp;background=2&amp;boundaries=true","Visa")</f>
        <v>Visa</v>
      </c>
      <c r="H500" s="5" t="s">
        <v>11</v>
      </c>
      <c r="I500" s="8">
        <v>41.126860000000001</v>
      </c>
      <c r="J500" s="9">
        <v>50.874270000000003</v>
      </c>
      <c r="K500" s="9">
        <v>52.402850000000001</v>
      </c>
      <c r="L500" s="14">
        <v>42.045209999999997</v>
      </c>
      <c r="M500" s="9">
        <v>51.303379999999997</v>
      </c>
      <c r="N500" s="9">
        <v>52.921340000000001</v>
      </c>
      <c r="O500" s="14">
        <v>42.201219999999999</v>
      </c>
      <c r="P500" s="9">
        <v>51.331829999999997</v>
      </c>
      <c r="Q500" s="9">
        <v>52.950659999999999</v>
      </c>
      <c r="R500" s="23">
        <v>30.594619999999999</v>
      </c>
      <c r="S500" s="8">
        <v>0.15601000000000001</v>
      </c>
      <c r="T500" s="9">
        <v>2.845E-2</v>
      </c>
      <c r="U500" s="24">
        <v>2.9319999999999999E-2</v>
      </c>
    </row>
    <row r="501" spans="1:21" ht="12" customHeight="1" x14ac:dyDescent="0.25">
      <c r="A501" s="5">
        <v>1199</v>
      </c>
      <c r="B501" s="19" t="s">
        <v>251</v>
      </c>
      <c r="C501" s="19" t="s">
        <v>12</v>
      </c>
      <c r="D501" s="5" t="s">
        <v>252</v>
      </c>
      <c r="E501" s="6">
        <v>366992.68779139</v>
      </c>
      <c r="F501" s="6">
        <v>6548173.4772345005</v>
      </c>
      <c r="G501" s="7" t="str">
        <f>HYPERLINK("https://minkarta.lantmateriet.se/?e=366992,68779139&amp;n=6548173,4772345&amp;z=12&amp;profile=flygbildmedgranser&amp;background=2&amp;boundaries=true","Visa")</f>
        <v>Visa</v>
      </c>
      <c r="H501" s="5" t="s">
        <v>8</v>
      </c>
      <c r="I501" s="8">
        <v>34.709699999999998</v>
      </c>
      <c r="J501" s="9">
        <v>37.173050000000003</v>
      </c>
      <c r="K501" s="9">
        <v>38.627020000000002</v>
      </c>
      <c r="L501" s="14">
        <v>35.647150000000003</v>
      </c>
      <c r="M501" s="9">
        <v>37.672550000000001</v>
      </c>
      <c r="N501" s="9">
        <v>41.143210000000003</v>
      </c>
      <c r="O501" s="14">
        <v>36.063600000000001</v>
      </c>
      <c r="P501" s="9">
        <v>38.65737</v>
      </c>
      <c r="Q501" s="9">
        <v>41.511940000000003</v>
      </c>
      <c r="R501" s="23">
        <v>24.134779999999999</v>
      </c>
      <c r="S501" s="8">
        <v>0.41644999999999999</v>
      </c>
      <c r="T501" s="9">
        <v>0.98482000000000003</v>
      </c>
      <c r="U501" s="24">
        <v>0.36873</v>
      </c>
    </row>
    <row r="502" spans="1:21" ht="12" customHeight="1" x14ac:dyDescent="0.25">
      <c r="A502" s="5">
        <v>1200</v>
      </c>
      <c r="B502" s="19" t="s">
        <v>251</v>
      </c>
      <c r="C502" s="19" t="s">
        <v>12</v>
      </c>
      <c r="D502" s="5" t="s">
        <v>252</v>
      </c>
      <c r="E502" s="6">
        <v>366989.88426665001</v>
      </c>
      <c r="F502" s="6">
        <v>6548179.4842934003</v>
      </c>
      <c r="G502" s="7" t="str">
        <f>HYPERLINK("https://minkarta.lantmateriet.se/?e=366989,88426665&amp;n=6548179,4842934&amp;z=12&amp;profile=flygbildmedgranser&amp;background=2&amp;boundaries=true","Visa")</f>
        <v>Visa</v>
      </c>
      <c r="H502" s="5" t="s">
        <v>9</v>
      </c>
      <c r="I502" s="8">
        <v>41.178179999999998</v>
      </c>
      <c r="J502" s="9">
        <v>46.65793</v>
      </c>
      <c r="K502" s="9">
        <v>48.186520000000002</v>
      </c>
      <c r="L502" s="14">
        <v>42.10539</v>
      </c>
      <c r="M502" s="9">
        <v>47.087040000000002</v>
      </c>
      <c r="N502" s="9">
        <v>48.705010000000001</v>
      </c>
      <c r="O502" s="14">
        <v>42.269390000000001</v>
      </c>
      <c r="P502" s="9">
        <v>47.115490000000001</v>
      </c>
      <c r="Q502" s="9">
        <v>48.73433</v>
      </c>
      <c r="R502" s="23">
        <v>33.128</v>
      </c>
      <c r="S502" s="8">
        <v>0.16400000000000001</v>
      </c>
      <c r="T502" s="9">
        <v>2.845E-2</v>
      </c>
      <c r="U502" s="24">
        <v>2.9319999999999999E-2</v>
      </c>
    </row>
    <row r="503" spans="1:21" ht="12" customHeight="1" x14ac:dyDescent="0.25">
      <c r="A503" s="5">
        <v>1201</v>
      </c>
      <c r="B503" s="19" t="s">
        <v>251</v>
      </c>
      <c r="C503" s="19" t="s">
        <v>12</v>
      </c>
      <c r="D503" s="5" t="s">
        <v>252</v>
      </c>
      <c r="E503" s="6">
        <v>366983.31970979</v>
      </c>
      <c r="F503" s="6">
        <v>6548178.5552679999</v>
      </c>
      <c r="G503" s="7" t="str">
        <f>HYPERLINK("https://minkarta.lantmateriet.se/?e=366983,31970979&amp;n=6548178,555268&amp;z=12&amp;profile=flygbildmedgranser&amp;background=2&amp;boundaries=true","Visa")</f>
        <v>Visa</v>
      </c>
      <c r="H503" s="5" t="s">
        <v>10</v>
      </c>
      <c r="I503" s="8">
        <v>46.92371</v>
      </c>
      <c r="J503" s="9">
        <v>54.132399999999997</v>
      </c>
      <c r="K503" s="9">
        <v>55.660980000000002</v>
      </c>
      <c r="L503" s="14">
        <v>47.849519999999998</v>
      </c>
      <c r="M503" s="9">
        <v>54.561509999999998</v>
      </c>
      <c r="N503" s="9">
        <v>56.179470000000002</v>
      </c>
      <c r="O503" s="14">
        <v>47.946779999999997</v>
      </c>
      <c r="P503" s="9">
        <v>54.589950000000002</v>
      </c>
      <c r="Q503" s="9">
        <v>56.20879</v>
      </c>
      <c r="R503" s="23">
        <v>36.326610000000002</v>
      </c>
      <c r="S503" s="8">
        <v>9.7259999999999999E-2</v>
      </c>
      <c r="T503" s="9">
        <v>2.844E-2</v>
      </c>
      <c r="U503" s="24">
        <v>2.9319999999999999E-2</v>
      </c>
    </row>
    <row r="504" spans="1:21" ht="12" customHeight="1" x14ac:dyDescent="0.25">
      <c r="A504" s="5">
        <v>1202</v>
      </c>
      <c r="B504" s="19" t="s">
        <v>251</v>
      </c>
      <c r="C504" s="19" t="s">
        <v>12</v>
      </c>
      <c r="D504" s="5" t="s">
        <v>252</v>
      </c>
      <c r="E504" s="6">
        <v>366986.12323567999</v>
      </c>
      <c r="F504" s="6">
        <v>6548172.5482104002</v>
      </c>
      <c r="G504" s="7" t="str">
        <f>HYPERLINK("https://minkarta.lantmateriet.se/?e=366986,12323568&amp;n=6548172,5482104&amp;z=12&amp;profile=flygbildmedgranser&amp;background=2&amp;boundaries=true","Visa")</f>
        <v>Visa</v>
      </c>
      <c r="H504" s="5" t="s">
        <v>11</v>
      </c>
      <c r="I504" s="8">
        <v>44.259079999999997</v>
      </c>
      <c r="J504" s="9">
        <v>53.058720000000001</v>
      </c>
      <c r="K504" s="9">
        <v>54.587299999999999</v>
      </c>
      <c r="L504" s="14">
        <v>45.176490000000001</v>
      </c>
      <c r="M504" s="9">
        <v>53.487830000000002</v>
      </c>
      <c r="N504" s="9">
        <v>55.105789999999999</v>
      </c>
      <c r="O504" s="14">
        <v>45.284500000000001</v>
      </c>
      <c r="P504" s="9">
        <v>53.516280000000002</v>
      </c>
      <c r="Q504" s="9">
        <v>55.135109999999997</v>
      </c>
      <c r="R504" s="23">
        <v>30.140699999999999</v>
      </c>
      <c r="S504" s="8">
        <v>0.10800999999999999</v>
      </c>
      <c r="T504" s="9">
        <v>2.845E-2</v>
      </c>
      <c r="U504" s="24">
        <v>2.9319999999999999E-2</v>
      </c>
    </row>
    <row r="505" spans="1:21" ht="12" customHeight="1" x14ac:dyDescent="0.25">
      <c r="A505" s="5">
        <v>1203</v>
      </c>
      <c r="B505" s="19" t="s">
        <v>253</v>
      </c>
      <c r="C505" s="19" t="s">
        <v>254</v>
      </c>
      <c r="D505" s="5" t="s">
        <v>255</v>
      </c>
      <c r="E505" s="6">
        <v>366962.07430997997</v>
      </c>
      <c r="F505" s="6">
        <v>6548189.1997688999</v>
      </c>
      <c r="G505" s="7" t="str">
        <f>HYPERLINK("https://minkarta.lantmateriet.se/?e=366962,07430998&amp;n=6548189,1997689&amp;z=12&amp;profile=flygbildmedgranser&amp;background=2&amp;boundaries=true","Visa")</f>
        <v>Visa</v>
      </c>
      <c r="H505" s="5" t="s">
        <v>8</v>
      </c>
      <c r="I505" s="8">
        <v>43.468829999999997</v>
      </c>
      <c r="J505" s="9">
        <v>49.210769999999997</v>
      </c>
      <c r="K505" s="9">
        <v>50.739350000000002</v>
      </c>
      <c r="L505" s="14">
        <v>44.417749999999998</v>
      </c>
      <c r="M505" s="9">
        <v>49.639870000000002</v>
      </c>
      <c r="N505" s="9">
        <v>51.257840000000002</v>
      </c>
      <c r="O505" s="14">
        <v>44.53687</v>
      </c>
      <c r="P505" s="9">
        <v>49.668320000000001</v>
      </c>
      <c r="Q505" s="9">
        <v>51.28716</v>
      </c>
      <c r="R505" s="23">
        <v>29.403130000000001</v>
      </c>
      <c r="S505" s="8">
        <v>0.11912</v>
      </c>
      <c r="T505" s="9">
        <v>2.845E-2</v>
      </c>
      <c r="U505" s="24">
        <v>2.9319999999999999E-2</v>
      </c>
    </row>
    <row r="506" spans="1:21" ht="12" customHeight="1" x14ac:dyDescent="0.25">
      <c r="A506" s="5">
        <v>1205</v>
      </c>
      <c r="B506" s="19" t="s">
        <v>253</v>
      </c>
      <c r="C506" s="19" t="s">
        <v>254</v>
      </c>
      <c r="D506" s="5" t="s">
        <v>255</v>
      </c>
      <c r="E506" s="6">
        <v>366953.57219152001</v>
      </c>
      <c r="F506" s="6">
        <v>6548193.7682341002</v>
      </c>
      <c r="G506" s="7" t="str">
        <f>HYPERLINK("https://minkarta.lantmateriet.se/?e=366953,57219152&amp;n=6548193,7682341&amp;z=12&amp;profile=flygbildmedgranser&amp;background=2&amp;boundaries=true","Visa")</f>
        <v>Visa</v>
      </c>
      <c r="H506" s="5" t="s">
        <v>10</v>
      </c>
      <c r="I506" s="8">
        <v>45.285159999999998</v>
      </c>
      <c r="J506" s="9">
        <v>51.71031</v>
      </c>
      <c r="K506" s="9">
        <v>53.238889999999998</v>
      </c>
      <c r="L506" s="14">
        <v>46.201689999999999</v>
      </c>
      <c r="M506" s="9">
        <v>52.139420000000001</v>
      </c>
      <c r="N506" s="9">
        <v>53.757379999999998</v>
      </c>
      <c r="O506" s="14">
        <v>46.316519999999997</v>
      </c>
      <c r="P506" s="9">
        <v>52.167870000000001</v>
      </c>
      <c r="Q506" s="9">
        <v>53.786700000000003</v>
      </c>
      <c r="R506" s="23">
        <v>39.838439999999999</v>
      </c>
      <c r="S506" s="8">
        <v>0.11483</v>
      </c>
      <c r="T506" s="9">
        <v>2.845E-2</v>
      </c>
      <c r="U506" s="24">
        <v>2.9319999999999999E-2</v>
      </c>
    </row>
    <row r="507" spans="1:21" ht="12" customHeight="1" x14ac:dyDescent="0.25">
      <c r="A507" s="5">
        <v>1206</v>
      </c>
      <c r="B507" s="19" t="s">
        <v>253</v>
      </c>
      <c r="C507" s="19" t="s">
        <v>254</v>
      </c>
      <c r="D507" s="5" t="s">
        <v>255</v>
      </c>
      <c r="E507" s="6">
        <v>366955.82726749999</v>
      </c>
      <c r="F507" s="6">
        <v>6548187.7686933</v>
      </c>
      <c r="G507" s="7" t="str">
        <f>HYPERLINK("https://minkarta.lantmateriet.se/?e=366955,8272675&amp;n=6548187,7686933&amp;z=12&amp;profile=flygbildmedgranser&amp;background=2&amp;boundaries=true","Visa")</f>
        <v>Visa</v>
      </c>
      <c r="H507" s="5" t="s">
        <v>11</v>
      </c>
      <c r="I507" s="8">
        <v>46.848820000000003</v>
      </c>
      <c r="J507" s="9">
        <v>57.196869999999997</v>
      </c>
      <c r="K507" s="9">
        <v>58.725450000000002</v>
      </c>
      <c r="L507" s="14">
        <v>47.775950000000002</v>
      </c>
      <c r="M507" s="9">
        <v>57.625979999999998</v>
      </c>
      <c r="N507" s="9">
        <v>59.243940000000002</v>
      </c>
      <c r="O507" s="14">
        <v>47.857010000000002</v>
      </c>
      <c r="P507" s="9">
        <v>57.654429999999998</v>
      </c>
      <c r="Q507" s="9">
        <v>59.273269999999997</v>
      </c>
      <c r="R507" s="23">
        <v>32.470230000000001</v>
      </c>
      <c r="S507" s="8">
        <v>8.1059999999999993E-2</v>
      </c>
      <c r="T507" s="9">
        <v>2.845E-2</v>
      </c>
      <c r="U507" s="24">
        <v>2.9329999999999998E-2</v>
      </c>
    </row>
    <row r="508" spans="1:21" ht="12" customHeight="1" x14ac:dyDescent="0.25">
      <c r="A508" s="5">
        <v>1207</v>
      </c>
      <c r="B508" s="19" t="s">
        <v>256</v>
      </c>
      <c r="C508" s="19" t="s">
        <v>12</v>
      </c>
      <c r="D508" s="5" t="s">
        <v>257</v>
      </c>
      <c r="E508" s="6">
        <v>366970.56779112999</v>
      </c>
      <c r="F508" s="6">
        <v>6548200.2222340005</v>
      </c>
      <c r="G508" s="7" t="str">
        <f>HYPERLINK("https://minkarta.lantmateriet.se/?e=366970,56779113&amp;n=6548200,222234&amp;z=12&amp;profile=flygbildmedgranser&amp;background=2&amp;boundaries=true","Visa")</f>
        <v>Visa</v>
      </c>
      <c r="H508" s="5" t="s">
        <v>8</v>
      </c>
      <c r="I508" s="8">
        <v>43.07255</v>
      </c>
      <c r="J508" s="9">
        <v>49.013730000000002</v>
      </c>
      <c r="K508" s="9">
        <v>50.542310000000001</v>
      </c>
      <c r="L508" s="14">
        <v>44.022759999999998</v>
      </c>
      <c r="M508" s="9">
        <v>49.442839999999997</v>
      </c>
      <c r="N508" s="9">
        <v>51.060809999999996</v>
      </c>
      <c r="O508" s="14">
        <v>44.105269999999997</v>
      </c>
      <c r="P508" s="9">
        <v>49.471290000000003</v>
      </c>
      <c r="Q508" s="9">
        <v>51.090130000000002</v>
      </c>
      <c r="R508" s="23">
        <v>29.942630000000001</v>
      </c>
      <c r="S508" s="8">
        <v>8.251E-2</v>
      </c>
      <c r="T508" s="9">
        <v>2.845E-2</v>
      </c>
      <c r="U508" s="24">
        <v>2.9319999999999999E-2</v>
      </c>
    </row>
    <row r="509" spans="1:21" ht="12" customHeight="1" x14ac:dyDescent="0.25">
      <c r="A509" s="5">
        <v>1208</v>
      </c>
      <c r="B509" s="19" t="s">
        <v>256</v>
      </c>
      <c r="C509" s="19" t="s">
        <v>12</v>
      </c>
      <c r="D509" s="5" t="s">
        <v>257</v>
      </c>
      <c r="E509" s="6">
        <v>366968.29276700999</v>
      </c>
      <c r="F509" s="6">
        <v>6548206.2407932002</v>
      </c>
      <c r="G509" s="7" t="str">
        <f>HYPERLINK("https://minkarta.lantmateriet.se/?e=366968,29276701&amp;n=6548206,2407932&amp;z=12&amp;profile=flygbildmedgranser&amp;background=2&amp;boundaries=true","Visa")</f>
        <v>Visa</v>
      </c>
      <c r="H509" s="5" t="s">
        <v>9</v>
      </c>
      <c r="I509" s="8">
        <v>41.875430000000001</v>
      </c>
      <c r="J509" s="9">
        <v>48.405430000000003</v>
      </c>
      <c r="K509" s="9">
        <v>49.934010000000001</v>
      </c>
      <c r="L509" s="14">
        <v>42.804729999999999</v>
      </c>
      <c r="M509" s="9">
        <v>48.834539999999997</v>
      </c>
      <c r="N509" s="9">
        <v>50.452509999999997</v>
      </c>
      <c r="O509" s="14">
        <v>43.010399999999997</v>
      </c>
      <c r="P509" s="9">
        <v>48.862990000000003</v>
      </c>
      <c r="Q509" s="9">
        <v>50.481830000000002</v>
      </c>
      <c r="R509" s="23">
        <v>40.397329999999997</v>
      </c>
      <c r="S509" s="8">
        <v>0.20566999999999999</v>
      </c>
      <c r="T509" s="9">
        <v>2.845E-2</v>
      </c>
      <c r="U509" s="24">
        <v>2.9319999999999999E-2</v>
      </c>
    </row>
    <row r="510" spans="1:21" ht="12" customHeight="1" x14ac:dyDescent="0.25">
      <c r="A510" s="5">
        <v>1209</v>
      </c>
      <c r="B510" s="19" t="s">
        <v>256</v>
      </c>
      <c r="C510" s="19" t="s">
        <v>12</v>
      </c>
      <c r="D510" s="5" t="s">
        <v>257</v>
      </c>
      <c r="E510" s="6">
        <v>366962.00671037001</v>
      </c>
      <c r="F510" s="6">
        <v>6548204.8637690004</v>
      </c>
      <c r="G510" s="7" t="str">
        <f>HYPERLINK("https://minkarta.lantmateriet.se/?e=366962,00671037&amp;n=6548204,863769&amp;z=12&amp;profile=flygbildmedgranser&amp;background=2&amp;boundaries=true","Visa")</f>
        <v>Visa</v>
      </c>
      <c r="H510" s="5" t="s">
        <v>10</v>
      </c>
      <c r="I510" s="8">
        <v>42.686909999999997</v>
      </c>
      <c r="J510" s="9">
        <v>50.110950000000003</v>
      </c>
      <c r="K510" s="9">
        <v>51.639530000000001</v>
      </c>
      <c r="L510" s="14">
        <v>43.608049999999999</v>
      </c>
      <c r="M510" s="9">
        <v>50.540059999999997</v>
      </c>
      <c r="N510" s="9">
        <v>52.15802</v>
      </c>
      <c r="O510" s="14">
        <v>43.750770000000003</v>
      </c>
      <c r="P510" s="9">
        <v>50.568510000000003</v>
      </c>
      <c r="Q510" s="9">
        <v>52.187339999999999</v>
      </c>
      <c r="R510" s="23">
        <v>37.643250000000002</v>
      </c>
      <c r="S510" s="8">
        <v>0.14272000000000001</v>
      </c>
      <c r="T510" s="9">
        <v>2.845E-2</v>
      </c>
      <c r="U510" s="24">
        <v>2.9319999999999999E-2</v>
      </c>
    </row>
    <row r="511" spans="1:21" ht="12" customHeight="1" x14ac:dyDescent="0.25">
      <c r="A511" s="5">
        <v>1210</v>
      </c>
      <c r="B511" s="19" t="s">
        <v>256</v>
      </c>
      <c r="C511" s="19" t="s">
        <v>12</v>
      </c>
      <c r="D511" s="5" t="s">
        <v>257</v>
      </c>
      <c r="E511" s="6">
        <v>366964.28173455998</v>
      </c>
      <c r="F511" s="6">
        <v>6548198.8452110002</v>
      </c>
      <c r="G511" s="7" t="str">
        <f>HYPERLINK("https://minkarta.lantmateriet.se/?e=366964,28173456&amp;n=6548198,845211&amp;z=12&amp;profile=flygbildmedgranser&amp;background=2&amp;boundaries=true","Visa")</f>
        <v>Visa</v>
      </c>
      <c r="H511" s="5" t="s">
        <v>11</v>
      </c>
      <c r="I511" s="8">
        <v>41.068129999999996</v>
      </c>
      <c r="J511" s="9">
        <v>48.980449999999998</v>
      </c>
      <c r="K511" s="9">
        <v>50.509030000000003</v>
      </c>
      <c r="L511" s="14">
        <v>41.999929999999999</v>
      </c>
      <c r="M511" s="9">
        <v>49.409559999999999</v>
      </c>
      <c r="N511" s="9">
        <v>51.027529999999999</v>
      </c>
      <c r="O511" s="14">
        <v>42.128909999999998</v>
      </c>
      <c r="P511" s="9">
        <v>49.438009999999998</v>
      </c>
      <c r="Q511" s="9">
        <v>51.056849999999997</v>
      </c>
      <c r="R511" s="23">
        <v>36.551780000000001</v>
      </c>
      <c r="S511" s="8">
        <v>0.12898000000000001</v>
      </c>
      <c r="T511" s="9">
        <v>2.845E-2</v>
      </c>
      <c r="U511" s="24">
        <v>2.9319999999999999E-2</v>
      </c>
    </row>
    <row r="512" spans="1:21" ht="12" customHeight="1" x14ac:dyDescent="0.25">
      <c r="A512" s="5">
        <v>1211</v>
      </c>
      <c r="B512" s="19" t="s">
        <v>258</v>
      </c>
      <c r="C512" s="19" t="s">
        <v>12</v>
      </c>
      <c r="D512" s="5" t="s">
        <v>259</v>
      </c>
      <c r="E512" s="6">
        <v>366976.89877625997</v>
      </c>
      <c r="F512" s="6">
        <v>6548216.4597067004</v>
      </c>
      <c r="G512" s="7" t="str">
        <f>HYPERLINK("https://minkarta.lantmateriet.se/?e=366976,89877626&amp;n=6548216,4597067&amp;z=12&amp;profile=flygbildmedgranser&amp;background=2&amp;boundaries=true","Visa")</f>
        <v>Visa</v>
      </c>
      <c r="H512" s="5" t="s">
        <v>8</v>
      </c>
      <c r="I512" s="8">
        <v>41.82602</v>
      </c>
      <c r="J512" s="9">
        <v>48.394620000000003</v>
      </c>
      <c r="K512" s="9">
        <v>49.923200000000001</v>
      </c>
      <c r="L512" s="14">
        <v>42.773200000000003</v>
      </c>
      <c r="M512" s="9">
        <v>48.823729999999998</v>
      </c>
      <c r="N512" s="9">
        <v>50.441690000000001</v>
      </c>
      <c r="O512" s="14">
        <v>42.886629999999997</v>
      </c>
      <c r="P512" s="9">
        <v>48.852179999999997</v>
      </c>
      <c r="Q512" s="9">
        <v>50.47101</v>
      </c>
      <c r="R512" s="23">
        <v>34.170810000000003</v>
      </c>
      <c r="S512" s="8">
        <v>0.11343</v>
      </c>
      <c r="T512" s="9">
        <v>2.845E-2</v>
      </c>
      <c r="U512" s="24">
        <v>2.9319999999999999E-2</v>
      </c>
    </row>
    <row r="513" spans="1:21" ht="12" customHeight="1" x14ac:dyDescent="0.25">
      <c r="A513" s="5">
        <v>1212</v>
      </c>
      <c r="B513" s="19" t="s">
        <v>258</v>
      </c>
      <c r="C513" s="19" t="s">
        <v>12</v>
      </c>
      <c r="D513" s="5" t="s">
        <v>259</v>
      </c>
      <c r="E513" s="6">
        <v>366974.70229709003</v>
      </c>
      <c r="F513" s="6">
        <v>6548222.5007768003</v>
      </c>
      <c r="G513" s="7" t="str">
        <f>HYPERLINK("https://minkarta.lantmateriet.se/?e=366974,70229709&amp;n=6548222,5007768&amp;z=12&amp;profile=flygbildmedgranser&amp;background=2&amp;boundaries=true","Visa")</f>
        <v>Visa</v>
      </c>
      <c r="H513" s="5" t="s">
        <v>9</v>
      </c>
      <c r="I513" s="8">
        <v>40.498260000000002</v>
      </c>
      <c r="J513" s="9">
        <v>43.603839999999998</v>
      </c>
      <c r="K513" s="9">
        <v>45.132420000000003</v>
      </c>
      <c r="L513" s="14">
        <v>41.433439999999997</v>
      </c>
      <c r="M513" s="9">
        <v>44.03295</v>
      </c>
      <c r="N513" s="9">
        <v>45.650910000000003</v>
      </c>
      <c r="O513" s="14">
        <v>41.670920000000002</v>
      </c>
      <c r="P513" s="9">
        <v>44.061399999999999</v>
      </c>
      <c r="Q513" s="9">
        <v>45.680230000000002</v>
      </c>
      <c r="R513" s="23">
        <v>39.4285</v>
      </c>
      <c r="S513" s="8">
        <v>0.23748</v>
      </c>
      <c r="T513" s="9">
        <v>2.845E-2</v>
      </c>
      <c r="U513" s="24">
        <v>2.9319999999999999E-2</v>
      </c>
    </row>
    <row r="514" spans="1:21" ht="12" customHeight="1" x14ac:dyDescent="0.25">
      <c r="A514" s="5">
        <v>1213</v>
      </c>
      <c r="B514" s="19" t="s">
        <v>258</v>
      </c>
      <c r="C514" s="19" t="s">
        <v>12</v>
      </c>
      <c r="D514" s="5" t="s">
        <v>259</v>
      </c>
      <c r="E514" s="6">
        <v>366968.43172597</v>
      </c>
      <c r="F514" s="6">
        <v>6548221.0867977003</v>
      </c>
      <c r="G514" s="7" t="str">
        <f>HYPERLINK("https://minkarta.lantmateriet.se/?e=366968,43172597&amp;n=6548221,0867977&amp;z=12&amp;profile=flygbildmedgranser&amp;background=2&amp;boundaries=true","Visa")</f>
        <v>Visa</v>
      </c>
      <c r="H514" s="5" t="s">
        <v>10</v>
      </c>
      <c r="I514" s="8">
        <v>43.21593</v>
      </c>
      <c r="J514" s="9">
        <v>50.820210000000003</v>
      </c>
      <c r="K514" s="9">
        <v>52.348790000000001</v>
      </c>
      <c r="L514" s="14">
        <v>44.130400000000002</v>
      </c>
      <c r="M514" s="9">
        <v>51.249310000000001</v>
      </c>
      <c r="N514" s="9">
        <v>52.867280000000001</v>
      </c>
      <c r="O514" s="14">
        <v>44.246899999999997</v>
      </c>
      <c r="P514" s="9">
        <v>51.277760000000001</v>
      </c>
      <c r="Q514" s="9">
        <v>52.896599999999999</v>
      </c>
      <c r="R514" s="23">
        <v>33.22663</v>
      </c>
      <c r="S514" s="8">
        <v>0.11650000000000001</v>
      </c>
      <c r="T514" s="9">
        <v>2.845E-2</v>
      </c>
      <c r="U514" s="24">
        <v>2.9319999999999999E-2</v>
      </c>
    </row>
    <row r="515" spans="1:21" ht="12" customHeight="1" x14ac:dyDescent="0.25">
      <c r="A515" s="5">
        <v>1214</v>
      </c>
      <c r="B515" s="19" t="s">
        <v>258</v>
      </c>
      <c r="C515" s="19" t="s">
        <v>12</v>
      </c>
      <c r="D515" s="5" t="s">
        <v>259</v>
      </c>
      <c r="E515" s="6">
        <v>366970.62820615002</v>
      </c>
      <c r="F515" s="6">
        <v>6548215.0457265005</v>
      </c>
      <c r="G515" s="7" t="str">
        <f>HYPERLINK("https://minkarta.lantmateriet.se/?e=366970,62820615&amp;n=6548215,0457265&amp;z=12&amp;profile=flygbildmedgranser&amp;background=2&amp;boundaries=true","Visa")</f>
        <v>Visa</v>
      </c>
      <c r="H515" s="5" t="s">
        <v>11</v>
      </c>
      <c r="I515" s="8">
        <v>42.155320000000003</v>
      </c>
      <c r="J515" s="9">
        <v>47.533279999999998</v>
      </c>
      <c r="K515" s="9">
        <v>49.061860000000003</v>
      </c>
      <c r="L515" s="14">
        <v>43.082099999999997</v>
      </c>
      <c r="M515" s="9">
        <v>47.962389999999999</v>
      </c>
      <c r="N515" s="9">
        <v>49.580359999999999</v>
      </c>
      <c r="O515" s="14">
        <v>43.301969999999997</v>
      </c>
      <c r="P515" s="9">
        <v>47.990839999999999</v>
      </c>
      <c r="Q515" s="9">
        <v>49.609679999999997</v>
      </c>
      <c r="R515" s="23">
        <v>38.846910000000001</v>
      </c>
      <c r="S515" s="8">
        <v>0.21987000000000001</v>
      </c>
      <c r="T515" s="9">
        <v>2.845E-2</v>
      </c>
      <c r="U515" s="24">
        <v>2.9319999999999999E-2</v>
      </c>
    </row>
    <row r="516" spans="1:21" ht="12" customHeight="1" x14ac:dyDescent="0.25">
      <c r="A516" s="5">
        <v>1215</v>
      </c>
      <c r="B516" s="19" t="s">
        <v>260</v>
      </c>
      <c r="C516" s="19" t="s">
        <v>12</v>
      </c>
      <c r="D516" s="5" t="s">
        <v>261</v>
      </c>
      <c r="E516" s="6">
        <v>366980.53220780002</v>
      </c>
      <c r="F516" s="6">
        <v>6548229.1372256</v>
      </c>
      <c r="G516" s="7" t="str">
        <f>HYPERLINK("https://minkarta.lantmateriet.se/?e=366980,5322078&amp;n=6548229,1372256&amp;z=12&amp;profile=flygbildmedgranser&amp;background=2&amp;boundaries=true","Visa")</f>
        <v>Visa</v>
      </c>
      <c r="H516" s="5" t="s">
        <v>11</v>
      </c>
      <c r="I516" s="8">
        <v>41.384459999999997</v>
      </c>
      <c r="J516" s="9">
        <v>45.046469999999999</v>
      </c>
      <c r="K516" s="9">
        <v>46.575049999999997</v>
      </c>
      <c r="L516" s="14">
        <v>42.311239999999998</v>
      </c>
      <c r="M516" s="9">
        <v>45.475580000000001</v>
      </c>
      <c r="N516" s="9">
        <v>47.093539999999997</v>
      </c>
      <c r="O516" s="14">
        <v>42.535679999999999</v>
      </c>
      <c r="P516" s="9">
        <v>45.663420000000002</v>
      </c>
      <c r="Q516" s="9">
        <v>47.282260000000001</v>
      </c>
      <c r="R516" s="23">
        <v>39.634520000000002</v>
      </c>
      <c r="S516" s="8">
        <v>0.22444</v>
      </c>
      <c r="T516" s="9">
        <v>0.18784000000000001</v>
      </c>
      <c r="U516" s="24">
        <v>0.18872</v>
      </c>
    </row>
    <row r="517" spans="1:21" ht="12" customHeight="1" x14ac:dyDescent="0.25">
      <c r="A517" s="5">
        <v>1216</v>
      </c>
      <c r="B517" s="19" t="s">
        <v>260</v>
      </c>
      <c r="C517" s="19" t="s">
        <v>12</v>
      </c>
      <c r="D517" s="5" t="s">
        <v>261</v>
      </c>
      <c r="E517" s="6">
        <v>366986.77877734002</v>
      </c>
      <c r="F517" s="6">
        <v>6548230.5602086997</v>
      </c>
      <c r="G517" s="7" t="str">
        <f>HYPERLINK("https://minkarta.lantmateriet.se/?e=366986,77877734&amp;n=6548230,5602087&amp;z=12&amp;profile=flygbildmedgranser&amp;background=2&amp;boundaries=true","Visa")</f>
        <v>Visa</v>
      </c>
      <c r="H517" s="5" t="s">
        <v>8</v>
      </c>
      <c r="I517" s="8">
        <v>43.100070000000002</v>
      </c>
      <c r="J517" s="9">
        <v>51.127580000000002</v>
      </c>
      <c r="K517" s="9">
        <v>52.65616</v>
      </c>
      <c r="L517" s="14">
        <v>44.052289999999999</v>
      </c>
      <c r="M517" s="9">
        <v>51.556690000000003</v>
      </c>
      <c r="N517" s="9">
        <v>53.174660000000003</v>
      </c>
      <c r="O517" s="14">
        <v>44.162730000000003</v>
      </c>
      <c r="P517" s="9">
        <v>51.585140000000003</v>
      </c>
      <c r="Q517" s="9">
        <v>53.203980000000001</v>
      </c>
      <c r="R517" s="23">
        <v>36.428100000000001</v>
      </c>
      <c r="S517" s="8">
        <v>0.11044</v>
      </c>
      <c r="T517" s="9">
        <v>2.845E-2</v>
      </c>
      <c r="U517" s="24">
        <v>2.9319999999999999E-2</v>
      </c>
    </row>
    <row r="518" spans="1:21" ht="12" customHeight="1" x14ac:dyDescent="0.25">
      <c r="A518" s="5">
        <v>1217</v>
      </c>
      <c r="B518" s="19" t="s">
        <v>260</v>
      </c>
      <c r="C518" s="19" t="s">
        <v>12</v>
      </c>
      <c r="D518" s="5" t="s">
        <v>261</v>
      </c>
      <c r="E518" s="6">
        <v>366984.59929296002</v>
      </c>
      <c r="F518" s="6">
        <v>6548236.5842791004</v>
      </c>
      <c r="G518" s="7" t="str">
        <f>HYPERLINK("https://minkarta.lantmateriet.se/?e=366984,59929296&amp;n=6548236,5842791&amp;z=12&amp;profile=flygbildmedgranser&amp;background=2&amp;boundaries=true","Visa")</f>
        <v>Visa</v>
      </c>
      <c r="H518" s="5" t="s">
        <v>9</v>
      </c>
      <c r="I518" s="8">
        <v>41.150179999999999</v>
      </c>
      <c r="J518" s="9">
        <v>45.975470000000001</v>
      </c>
      <c r="K518" s="9">
        <v>47.504049999999999</v>
      </c>
      <c r="L518" s="14">
        <v>42.081240000000001</v>
      </c>
      <c r="M518" s="9">
        <v>46.404580000000003</v>
      </c>
      <c r="N518" s="9">
        <v>48.022539999999999</v>
      </c>
      <c r="O518" s="14">
        <v>42.1967</v>
      </c>
      <c r="P518" s="9">
        <v>46.433030000000002</v>
      </c>
      <c r="Q518" s="9">
        <v>48.051859999999998</v>
      </c>
      <c r="R518" s="23">
        <v>37.071919999999999</v>
      </c>
      <c r="S518" s="8">
        <v>0.11545999999999999</v>
      </c>
      <c r="T518" s="9">
        <v>2.845E-2</v>
      </c>
      <c r="U518" s="24">
        <v>2.9319999999999999E-2</v>
      </c>
    </row>
    <row r="519" spans="1:21" ht="12" customHeight="1" x14ac:dyDescent="0.25">
      <c r="A519" s="5">
        <v>1218</v>
      </c>
      <c r="B519" s="19" t="s">
        <v>260</v>
      </c>
      <c r="C519" s="19" t="s">
        <v>12</v>
      </c>
      <c r="D519" s="5" t="s">
        <v>261</v>
      </c>
      <c r="E519" s="6">
        <v>366978.35272443999</v>
      </c>
      <c r="F519" s="6">
        <v>6548235.1612948999</v>
      </c>
      <c r="G519" s="7" t="str">
        <f>HYPERLINK("https://minkarta.lantmateriet.se/?e=366978,35272444&amp;n=6548235,1612949&amp;z=12&amp;profile=flygbildmedgranser&amp;background=2&amp;boundaries=true","Visa")</f>
        <v>Visa</v>
      </c>
      <c r="H519" s="5" t="s">
        <v>10</v>
      </c>
      <c r="I519" s="8">
        <v>43.453420000000001</v>
      </c>
      <c r="J519" s="9">
        <v>53.886749999999999</v>
      </c>
      <c r="K519" s="9">
        <v>55.415329999999997</v>
      </c>
      <c r="L519" s="14">
        <v>44.374650000000003</v>
      </c>
      <c r="M519" s="9">
        <v>54.315849999999998</v>
      </c>
      <c r="N519" s="9">
        <v>55.933819999999997</v>
      </c>
      <c r="O519" s="14">
        <v>44.517189999999999</v>
      </c>
      <c r="P519" s="9">
        <v>54.344299999999997</v>
      </c>
      <c r="Q519" s="9">
        <v>55.963140000000003</v>
      </c>
      <c r="R519" s="23">
        <v>36.788559999999997</v>
      </c>
      <c r="S519" s="8">
        <v>0.14254</v>
      </c>
      <c r="T519" s="9">
        <v>2.845E-2</v>
      </c>
      <c r="U519" s="24">
        <v>2.9319999999999999E-2</v>
      </c>
    </row>
    <row r="520" spans="1:21" ht="12" customHeight="1" x14ac:dyDescent="0.25">
      <c r="A520" s="5">
        <v>1219</v>
      </c>
      <c r="B520" s="19" t="s">
        <v>262</v>
      </c>
      <c r="C520" s="19" t="s">
        <v>12</v>
      </c>
      <c r="D520" s="5" t="s">
        <v>263</v>
      </c>
      <c r="E520" s="6">
        <v>366993.28527827997</v>
      </c>
      <c r="F520" s="6">
        <v>6548246.5767104002</v>
      </c>
      <c r="G520" s="7" t="str">
        <f>HYPERLINK("https://minkarta.lantmateriet.se/?e=366993,28527828&amp;n=6548246,5767104&amp;z=12&amp;profile=flygbildmedgranser&amp;background=2&amp;boundaries=true","Visa")</f>
        <v>Visa</v>
      </c>
      <c r="H520" s="5" t="s">
        <v>8</v>
      </c>
      <c r="I520" s="8">
        <v>42.080329999999996</v>
      </c>
      <c r="J520" s="9">
        <v>48.632260000000002</v>
      </c>
      <c r="K520" s="9">
        <v>50.16084</v>
      </c>
      <c r="L520" s="14">
        <v>43.031550000000003</v>
      </c>
      <c r="M520" s="9">
        <v>49.061369999999997</v>
      </c>
      <c r="N520" s="9">
        <v>50.67933</v>
      </c>
      <c r="O520" s="14">
        <v>43.137869999999999</v>
      </c>
      <c r="P520" s="9">
        <v>49.089820000000003</v>
      </c>
      <c r="Q520" s="9">
        <v>50.708649999999999</v>
      </c>
      <c r="R520" s="23">
        <v>29.5792</v>
      </c>
      <c r="S520" s="8">
        <v>0.10632</v>
      </c>
      <c r="T520" s="9">
        <v>2.845E-2</v>
      </c>
      <c r="U520" s="24">
        <v>2.9319999999999999E-2</v>
      </c>
    </row>
    <row r="521" spans="1:21" ht="12" customHeight="1" x14ac:dyDescent="0.25">
      <c r="A521" s="5">
        <v>1220</v>
      </c>
      <c r="B521" s="19" t="s">
        <v>262</v>
      </c>
      <c r="C521" s="19" t="s">
        <v>12</v>
      </c>
      <c r="D521" s="5" t="s">
        <v>263</v>
      </c>
      <c r="E521" s="6">
        <v>366991.06229408999</v>
      </c>
      <c r="F521" s="6">
        <v>6548252.6162785003</v>
      </c>
      <c r="G521" s="7" t="str">
        <f>HYPERLINK("https://minkarta.lantmateriet.se/?e=366991,06229409&amp;n=6548252,6162785&amp;z=12&amp;profile=flygbildmedgranser&amp;background=2&amp;boundaries=true","Visa")</f>
        <v>Visa</v>
      </c>
      <c r="H521" s="5" t="s">
        <v>9</v>
      </c>
      <c r="I521" s="8">
        <v>39.770919999999997</v>
      </c>
      <c r="J521" s="9">
        <v>41.924410000000002</v>
      </c>
      <c r="K521" s="9">
        <v>43.45299</v>
      </c>
      <c r="L521" s="14">
        <v>40.711060000000003</v>
      </c>
      <c r="M521" s="9">
        <v>42.353520000000003</v>
      </c>
      <c r="N521" s="9">
        <v>43.971490000000003</v>
      </c>
      <c r="O521" s="14">
        <v>40.886099999999999</v>
      </c>
      <c r="P521" s="9">
        <v>42.381970000000003</v>
      </c>
      <c r="Q521" s="9">
        <v>44.000799999999998</v>
      </c>
      <c r="R521" s="23">
        <v>37.045659999999998</v>
      </c>
      <c r="S521" s="8">
        <v>0.17504</v>
      </c>
      <c r="T521" s="9">
        <v>2.845E-2</v>
      </c>
      <c r="U521" s="24">
        <v>2.9309999999999999E-2</v>
      </c>
    </row>
    <row r="522" spans="1:21" ht="12" customHeight="1" x14ac:dyDescent="0.25">
      <c r="A522" s="5">
        <v>1221</v>
      </c>
      <c r="B522" s="19" t="s">
        <v>262</v>
      </c>
      <c r="C522" s="19" t="s">
        <v>12</v>
      </c>
      <c r="D522" s="5" t="s">
        <v>263</v>
      </c>
      <c r="E522" s="6">
        <v>366984.78022393998</v>
      </c>
      <c r="F522" s="6">
        <v>6548251.2207939997</v>
      </c>
      <c r="G522" s="7" t="str">
        <f>HYPERLINK("https://minkarta.lantmateriet.se/?e=366984,78022394&amp;n=6548251,220794&amp;z=12&amp;profile=flygbildmedgranser&amp;background=2&amp;boundaries=true","Visa")</f>
        <v>Visa</v>
      </c>
      <c r="H522" s="5" t="s">
        <v>10</v>
      </c>
      <c r="I522" s="8">
        <v>43.235219999999998</v>
      </c>
      <c r="J522" s="9">
        <v>52.047919999999998</v>
      </c>
      <c r="K522" s="9">
        <v>53.576500000000003</v>
      </c>
      <c r="L522" s="14">
        <v>44.156269999999999</v>
      </c>
      <c r="M522" s="9">
        <v>52.477020000000003</v>
      </c>
      <c r="N522" s="9">
        <v>54.094990000000003</v>
      </c>
      <c r="O522" s="14">
        <v>44.339019999999998</v>
      </c>
      <c r="P522" s="9">
        <v>52.505470000000003</v>
      </c>
      <c r="Q522" s="9">
        <v>54.124310000000001</v>
      </c>
      <c r="R522" s="23">
        <v>39.694479999999999</v>
      </c>
      <c r="S522" s="8">
        <v>0.18275</v>
      </c>
      <c r="T522" s="9">
        <v>2.845E-2</v>
      </c>
      <c r="U522" s="24">
        <v>2.9319999999999999E-2</v>
      </c>
    </row>
    <row r="523" spans="1:21" ht="12" customHeight="1" x14ac:dyDescent="0.25">
      <c r="A523" s="5">
        <v>1222</v>
      </c>
      <c r="B523" s="19" t="s">
        <v>262</v>
      </c>
      <c r="C523" s="19" t="s">
        <v>12</v>
      </c>
      <c r="D523" s="5" t="s">
        <v>263</v>
      </c>
      <c r="E523" s="6">
        <v>366987.00320914999</v>
      </c>
      <c r="F523" s="6">
        <v>6548245.1812249003</v>
      </c>
      <c r="G523" s="7" t="str">
        <f>HYPERLINK("https://minkarta.lantmateriet.se/?e=366987,00320915&amp;n=6548245,1812249&amp;z=12&amp;profile=flygbildmedgranser&amp;background=2&amp;boundaries=true","Visa")</f>
        <v>Visa</v>
      </c>
      <c r="H523" s="5" t="s">
        <v>11</v>
      </c>
      <c r="I523" s="8">
        <v>41.685099999999998</v>
      </c>
      <c r="J523" s="9">
        <v>46.902450000000002</v>
      </c>
      <c r="K523" s="9">
        <v>48.43103</v>
      </c>
      <c r="L523" s="14">
        <v>42.614019999999996</v>
      </c>
      <c r="M523" s="9">
        <v>47.331560000000003</v>
      </c>
      <c r="N523" s="9">
        <v>48.949530000000003</v>
      </c>
      <c r="O523" s="14">
        <v>42.827739999999999</v>
      </c>
      <c r="P523" s="9">
        <v>47.360010000000003</v>
      </c>
      <c r="Q523" s="9">
        <v>48.978850000000001</v>
      </c>
      <c r="R523" s="23">
        <v>35.581119999999999</v>
      </c>
      <c r="S523" s="8">
        <v>0.21371999999999999</v>
      </c>
      <c r="T523" s="9">
        <v>2.845E-2</v>
      </c>
      <c r="U523" s="24">
        <v>2.9319999999999999E-2</v>
      </c>
    </row>
    <row r="524" spans="1:21" ht="12" customHeight="1" x14ac:dyDescent="0.25">
      <c r="A524" s="5">
        <v>1223</v>
      </c>
      <c r="B524" s="19" t="s">
        <v>264</v>
      </c>
      <c r="C524" s="19" t="s">
        <v>12</v>
      </c>
      <c r="D524" s="5" t="s">
        <v>265</v>
      </c>
      <c r="E524" s="6">
        <v>367003.10277941998</v>
      </c>
      <c r="F524" s="6">
        <v>6548260.6637124997</v>
      </c>
      <c r="G524" s="7" t="str">
        <f>HYPERLINK("https://minkarta.lantmateriet.se/?e=367003,10277942&amp;n=6548260,6637125&amp;z=12&amp;profile=flygbildmedgranser&amp;background=2&amp;boundaries=true","Visa")</f>
        <v>Visa</v>
      </c>
      <c r="H524" s="5" t="s">
        <v>8</v>
      </c>
      <c r="I524" s="8">
        <v>42.943260000000002</v>
      </c>
      <c r="J524" s="9">
        <v>52.056330000000003</v>
      </c>
      <c r="K524" s="9">
        <v>53.584910000000001</v>
      </c>
      <c r="L524" s="14">
        <v>43.896650000000001</v>
      </c>
      <c r="M524" s="9">
        <v>52.485439999999997</v>
      </c>
      <c r="N524" s="9">
        <v>54.103400000000001</v>
      </c>
      <c r="O524" s="14">
        <v>44.024929999999998</v>
      </c>
      <c r="P524" s="9">
        <v>52.513890000000004</v>
      </c>
      <c r="Q524" s="9">
        <v>54.132719999999999</v>
      </c>
      <c r="R524" s="23">
        <v>25.077020000000001</v>
      </c>
      <c r="S524" s="8">
        <v>0.12828000000000001</v>
      </c>
      <c r="T524" s="9">
        <v>2.845E-2</v>
      </c>
      <c r="U524" s="24">
        <v>2.9319999999999999E-2</v>
      </c>
    </row>
    <row r="525" spans="1:21" ht="12" customHeight="1" x14ac:dyDescent="0.25">
      <c r="A525" s="5">
        <v>1224</v>
      </c>
      <c r="B525" s="19" t="s">
        <v>264</v>
      </c>
      <c r="C525" s="19" t="s">
        <v>12</v>
      </c>
      <c r="D525" s="5" t="s">
        <v>265</v>
      </c>
      <c r="E525" s="6">
        <v>367000.96179143002</v>
      </c>
      <c r="F525" s="6">
        <v>6548266.7457798999</v>
      </c>
      <c r="G525" s="7" t="str">
        <f>HYPERLINK("https://minkarta.lantmateriet.se/?e=367000,96179143&amp;n=6548266,7457799&amp;z=12&amp;profile=flygbildmedgranser&amp;background=2&amp;boundaries=true","Visa")</f>
        <v>Visa</v>
      </c>
      <c r="H525" s="5" t="s">
        <v>9</v>
      </c>
      <c r="I525" s="8">
        <v>41.131329999999998</v>
      </c>
      <c r="J525" s="9">
        <v>45.163130000000002</v>
      </c>
      <c r="K525" s="9">
        <v>46.69171</v>
      </c>
      <c r="L525" s="14">
        <v>42.063029999999998</v>
      </c>
      <c r="M525" s="9">
        <v>45.592239999999997</v>
      </c>
      <c r="N525" s="9">
        <v>47.210209999999996</v>
      </c>
      <c r="O525" s="14">
        <v>42.248640000000002</v>
      </c>
      <c r="P525" s="9">
        <v>45.620690000000003</v>
      </c>
      <c r="Q525" s="9">
        <v>47.239519999999999</v>
      </c>
      <c r="R525" s="23">
        <v>39.23818</v>
      </c>
      <c r="S525" s="8">
        <v>0.18561</v>
      </c>
      <c r="T525" s="9">
        <v>2.845E-2</v>
      </c>
      <c r="U525" s="24">
        <v>2.9309999999999999E-2</v>
      </c>
    </row>
    <row r="526" spans="1:21" ht="12" customHeight="1" x14ac:dyDescent="0.25">
      <c r="A526" s="5">
        <v>1225</v>
      </c>
      <c r="B526" s="19" t="s">
        <v>264</v>
      </c>
      <c r="C526" s="19" t="s">
        <v>12</v>
      </c>
      <c r="D526" s="5" t="s">
        <v>265</v>
      </c>
      <c r="E526" s="6">
        <v>366994.68922258</v>
      </c>
      <c r="F526" s="6">
        <v>6548265.2552915001</v>
      </c>
      <c r="G526" s="7" t="str">
        <f>HYPERLINK("https://minkarta.lantmateriet.se/?e=366994,68922258&amp;n=6548265,2552915&amp;z=12&amp;profile=flygbildmedgranser&amp;background=2&amp;boundaries=true","Visa")</f>
        <v>Visa</v>
      </c>
      <c r="H526" s="5" t="s">
        <v>10</v>
      </c>
      <c r="I526" s="8">
        <v>42.440779999999997</v>
      </c>
      <c r="J526" s="9">
        <v>52.360439999999997</v>
      </c>
      <c r="K526" s="9">
        <v>53.889020000000002</v>
      </c>
      <c r="L526" s="14">
        <v>43.362870000000001</v>
      </c>
      <c r="M526" s="9">
        <v>52.789549999999998</v>
      </c>
      <c r="N526" s="9">
        <v>54.407510000000002</v>
      </c>
      <c r="O526" s="14">
        <v>43.582340000000002</v>
      </c>
      <c r="P526" s="9">
        <v>52.817999999999998</v>
      </c>
      <c r="Q526" s="9">
        <v>54.43683</v>
      </c>
      <c r="R526" s="23">
        <v>40.878030000000003</v>
      </c>
      <c r="S526" s="8">
        <v>0.21947</v>
      </c>
      <c r="T526" s="9">
        <v>2.845E-2</v>
      </c>
      <c r="U526" s="24">
        <v>2.9319999999999999E-2</v>
      </c>
    </row>
    <row r="527" spans="1:21" ht="12" customHeight="1" x14ac:dyDescent="0.25">
      <c r="A527" s="5">
        <v>1226</v>
      </c>
      <c r="B527" s="19" t="s">
        <v>264</v>
      </c>
      <c r="C527" s="19" t="s">
        <v>12</v>
      </c>
      <c r="D527" s="5" t="s">
        <v>265</v>
      </c>
      <c r="E527" s="6">
        <v>366996.83021057001</v>
      </c>
      <c r="F527" s="6">
        <v>6548259.1732240999</v>
      </c>
      <c r="G527" s="7" t="str">
        <f>HYPERLINK("https://minkarta.lantmateriet.se/?e=366996,83021057&amp;n=6548259,1732241&amp;z=12&amp;profile=flygbildmedgranser&amp;background=2&amp;boundaries=true","Visa")</f>
        <v>Visa</v>
      </c>
      <c r="H527" s="5" t="s">
        <v>11</v>
      </c>
      <c r="I527" s="8">
        <v>40.612349999999999</v>
      </c>
      <c r="J527" s="9">
        <v>43.857129999999998</v>
      </c>
      <c r="K527" s="9">
        <v>45.385710000000003</v>
      </c>
      <c r="L527" s="14">
        <v>41.546999999999997</v>
      </c>
      <c r="M527" s="9">
        <v>44.286239999999999</v>
      </c>
      <c r="N527" s="9">
        <v>45.904209999999999</v>
      </c>
      <c r="O527" s="14">
        <v>41.846620000000001</v>
      </c>
      <c r="P527" s="9">
        <v>44.314689999999999</v>
      </c>
      <c r="Q527" s="9">
        <v>45.933529999999998</v>
      </c>
      <c r="R527" s="23">
        <v>40.618000000000002</v>
      </c>
      <c r="S527" s="8">
        <v>0.29962</v>
      </c>
      <c r="T527" s="9">
        <v>2.845E-2</v>
      </c>
      <c r="U527" s="24">
        <v>2.9319999999999999E-2</v>
      </c>
    </row>
    <row r="528" spans="1:21" ht="12" customHeight="1" x14ac:dyDescent="0.25">
      <c r="A528" s="5">
        <v>1227</v>
      </c>
      <c r="B528" s="19" t="s">
        <v>266</v>
      </c>
      <c r="C528" s="19" t="s">
        <v>12</v>
      </c>
      <c r="D528" s="5" t="s">
        <v>267</v>
      </c>
      <c r="E528" s="6">
        <v>367009.59778506</v>
      </c>
      <c r="F528" s="6">
        <v>6548276.8332228996</v>
      </c>
      <c r="G528" s="7" t="str">
        <f>HYPERLINK("https://minkarta.lantmateriet.se/?e=367009,59778506&amp;n=6548276,8332229&amp;z=12&amp;profile=flygbildmedgranser&amp;background=2&amp;boundaries=true","Visa")</f>
        <v>Visa</v>
      </c>
      <c r="H528" s="5" t="s">
        <v>8</v>
      </c>
      <c r="I528" s="8">
        <v>42.068869999999997</v>
      </c>
      <c r="J528" s="9">
        <v>48.95176</v>
      </c>
      <c r="K528" s="9">
        <v>50.480339999999998</v>
      </c>
      <c r="L528" s="14">
        <v>43.045819999999999</v>
      </c>
      <c r="M528" s="9">
        <v>49.380870000000002</v>
      </c>
      <c r="N528" s="9">
        <v>50.998840000000001</v>
      </c>
      <c r="O528" s="14">
        <v>43.128030000000003</v>
      </c>
      <c r="P528" s="9">
        <v>49.409320000000001</v>
      </c>
      <c r="Q528" s="9">
        <v>51.02816</v>
      </c>
      <c r="R528" s="23">
        <v>34.055410000000002</v>
      </c>
      <c r="S528" s="8">
        <v>8.2210000000000005E-2</v>
      </c>
      <c r="T528" s="9">
        <v>2.845E-2</v>
      </c>
      <c r="U528" s="24">
        <v>2.9319999999999999E-2</v>
      </c>
    </row>
    <row r="529" spans="1:21" ht="12" customHeight="1" x14ac:dyDescent="0.25">
      <c r="A529" s="5">
        <v>1228</v>
      </c>
      <c r="B529" s="19" t="s">
        <v>266</v>
      </c>
      <c r="C529" s="19" t="s">
        <v>12</v>
      </c>
      <c r="D529" s="5" t="s">
        <v>267</v>
      </c>
      <c r="E529" s="6">
        <v>367007.41627856001</v>
      </c>
      <c r="F529" s="6">
        <v>6548282.8827868998</v>
      </c>
      <c r="G529" s="7" t="str">
        <f>HYPERLINK("https://minkarta.lantmateriet.se/?e=367007,41627856&amp;n=6548282,8827869&amp;z=12&amp;profile=flygbildmedgranser&amp;background=2&amp;boundaries=true","Visa")</f>
        <v>Visa</v>
      </c>
      <c r="H529" s="5" t="s">
        <v>9</v>
      </c>
      <c r="I529" s="8">
        <v>39.581890000000001</v>
      </c>
      <c r="J529" s="9">
        <v>44.970649999999999</v>
      </c>
      <c r="K529" s="9">
        <v>46.499229999999997</v>
      </c>
      <c r="L529" s="14">
        <v>40.5169</v>
      </c>
      <c r="M529" s="9">
        <v>45.399760000000001</v>
      </c>
      <c r="N529" s="9">
        <v>47.01773</v>
      </c>
      <c r="O529" s="14">
        <v>40.916080000000001</v>
      </c>
      <c r="P529" s="9">
        <v>45.42821</v>
      </c>
      <c r="Q529" s="9">
        <v>47.047049999999999</v>
      </c>
      <c r="R529" s="23">
        <v>40.396450000000002</v>
      </c>
      <c r="S529" s="8">
        <v>0.39917999999999998</v>
      </c>
      <c r="T529" s="9">
        <v>2.845E-2</v>
      </c>
      <c r="U529" s="24">
        <v>2.9319999999999999E-2</v>
      </c>
    </row>
    <row r="530" spans="1:21" ht="12" customHeight="1" x14ac:dyDescent="0.25">
      <c r="A530" s="5">
        <v>1229</v>
      </c>
      <c r="B530" s="19" t="s">
        <v>266</v>
      </c>
      <c r="C530" s="19" t="s">
        <v>12</v>
      </c>
      <c r="D530" s="5" t="s">
        <v>267</v>
      </c>
      <c r="E530" s="6">
        <v>367001.15171645</v>
      </c>
      <c r="F530" s="6">
        <v>6548281.4267801996</v>
      </c>
      <c r="G530" s="7" t="str">
        <f>HYPERLINK("https://minkarta.lantmateriet.se/?e=367001,15171645&amp;n=6548281,4267802&amp;z=12&amp;profile=flygbildmedgranser&amp;background=2&amp;boundaries=true","Visa")</f>
        <v>Visa</v>
      </c>
      <c r="H530" s="5" t="s">
        <v>10</v>
      </c>
      <c r="I530" s="8">
        <v>42.049390000000002</v>
      </c>
      <c r="J530" s="9">
        <v>51.272449999999999</v>
      </c>
      <c r="K530" s="9">
        <v>52.801029999999997</v>
      </c>
      <c r="L530" s="14">
        <v>42.972589999999997</v>
      </c>
      <c r="M530" s="9">
        <v>51.701549999999997</v>
      </c>
      <c r="N530" s="9">
        <v>53.319519999999997</v>
      </c>
      <c r="O530" s="14">
        <v>43.146270000000001</v>
      </c>
      <c r="P530" s="9">
        <v>51.73001</v>
      </c>
      <c r="Q530" s="9">
        <v>53.348840000000003</v>
      </c>
      <c r="R530" s="23">
        <v>40.667909999999999</v>
      </c>
      <c r="S530" s="8">
        <v>0.17368</v>
      </c>
      <c r="T530" s="9">
        <v>2.8459999999999999E-2</v>
      </c>
      <c r="U530" s="24">
        <v>2.9319999999999999E-2</v>
      </c>
    </row>
    <row r="531" spans="1:21" ht="12" customHeight="1" x14ac:dyDescent="0.25">
      <c r="A531" s="5">
        <v>1230</v>
      </c>
      <c r="B531" s="19" t="s">
        <v>266</v>
      </c>
      <c r="C531" s="19" t="s">
        <v>12</v>
      </c>
      <c r="D531" s="5" t="s">
        <v>267</v>
      </c>
      <c r="E531" s="6">
        <v>367003.33322299999</v>
      </c>
      <c r="F531" s="6">
        <v>6548275.3772173002</v>
      </c>
      <c r="G531" s="7" t="str">
        <f>HYPERLINK("https://minkarta.lantmateriet.se/?e=367003,333223&amp;n=6548275,3772173&amp;z=12&amp;profile=flygbildmedgranser&amp;background=2&amp;boundaries=true","Visa")</f>
        <v>Visa</v>
      </c>
      <c r="H531" s="5" t="s">
        <v>11</v>
      </c>
      <c r="I531" s="8">
        <v>41.094569999999997</v>
      </c>
      <c r="J531" s="9">
        <v>46.174349999999997</v>
      </c>
      <c r="K531" s="9">
        <v>47.702930000000002</v>
      </c>
      <c r="L531" s="14">
        <v>42.023629999999997</v>
      </c>
      <c r="M531" s="9">
        <v>46.603459999999998</v>
      </c>
      <c r="N531" s="9">
        <v>48.221420000000002</v>
      </c>
      <c r="O531" s="14">
        <v>42.119909999999997</v>
      </c>
      <c r="P531" s="9">
        <v>45.636189999999999</v>
      </c>
      <c r="Q531" s="9">
        <v>47.255020000000002</v>
      </c>
      <c r="R531" s="23">
        <v>40.124220000000001</v>
      </c>
      <c r="S531" s="8">
        <v>9.6280000000000004E-2</v>
      </c>
      <c r="T531" s="9">
        <v>-0.96726999999999996</v>
      </c>
      <c r="U531" s="24">
        <v>-0.96640000000000004</v>
      </c>
    </row>
    <row r="532" spans="1:21" ht="12" customHeight="1" x14ac:dyDescent="0.25">
      <c r="A532" s="5">
        <v>1231</v>
      </c>
      <c r="B532" s="19" t="s">
        <v>268</v>
      </c>
      <c r="C532" s="19" t="s">
        <v>12</v>
      </c>
      <c r="D532" s="5" t="s">
        <v>269</v>
      </c>
      <c r="E532" s="6">
        <v>367020.50577021</v>
      </c>
      <c r="F532" s="6">
        <v>6548289.2266956996</v>
      </c>
      <c r="G532" s="7" t="str">
        <f>HYPERLINK("https://minkarta.lantmateriet.se/?e=367020,50577021&amp;n=6548289,2266957&amp;z=12&amp;profile=flygbildmedgranser&amp;background=2&amp;boundaries=true","Visa")</f>
        <v>Visa</v>
      </c>
      <c r="H532" s="5" t="s">
        <v>8</v>
      </c>
      <c r="I532" s="8">
        <v>41.226239999999997</v>
      </c>
      <c r="J532" s="9">
        <v>49.804929999999999</v>
      </c>
      <c r="K532" s="9">
        <v>51.333509999999997</v>
      </c>
      <c r="L532" s="14">
        <v>42.175139999999999</v>
      </c>
      <c r="M532" s="9">
        <v>50.23404</v>
      </c>
      <c r="N532" s="9">
        <v>51.85201</v>
      </c>
      <c r="O532" s="14">
        <v>42.27102</v>
      </c>
      <c r="P532" s="9">
        <v>50.26249</v>
      </c>
      <c r="Q532" s="9">
        <v>51.881320000000002</v>
      </c>
      <c r="R532" s="23">
        <v>25.25516</v>
      </c>
      <c r="S532" s="8">
        <v>9.5880000000000007E-2</v>
      </c>
      <c r="T532" s="9">
        <v>2.845E-2</v>
      </c>
      <c r="U532" s="24">
        <v>2.9309999999999999E-2</v>
      </c>
    </row>
    <row r="533" spans="1:21" ht="12" customHeight="1" x14ac:dyDescent="0.25">
      <c r="A533" s="5">
        <v>1232</v>
      </c>
      <c r="B533" s="19" t="s">
        <v>268</v>
      </c>
      <c r="C533" s="19" t="s">
        <v>12</v>
      </c>
      <c r="D533" s="5" t="s">
        <v>269</v>
      </c>
      <c r="E533" s="6">
        <v>367016.58030648</v>
      </c>
      <c r="F533" s="6">
        <v>6548296.0462717004</v>
      </c>
      <c r="G533" s="7" t="str">
        <f>HYPERLINK("https://minkarta.lantmateriet.se/?e=367016,58030648&amp;n=6548296,0462717&amp;z=12&amp;profile=flygbildmedgranser&amp;background=2&amp;boundaries=true","Visa")</f>
        <v>Visa</v>
      </c>
      <c r="H533" s="5" t="s">
        <v>9</v>
      </c>
      <c r="I533" s="8">
        <v>38.953000000000003</v>
      </c>
      <c r="J533" s="9">
        <v>40.635190000000001</v>
      </c>
      <c r="K533" s="9">
        <v>42.163760000000003</v>
      </c>
      <c r="L533" s="14">
        <v>39.875889999999998</v>
      </c>
      <c r="M533" s="9">
        <v>41.06429</v>
      </c>
      <c r="N533" s="9">
        <v>43.317270000000001</v>
      </c>
      <c r="O533" s="14">
        <v>40.659080000000003</v>
      </c>
      <c r="P533" s="9">
        <v>46.207720000000002</v>
      </c>
      <c r="Q533" s="9">
        <v>46.207720000000002</v>
      </c>
      <c r="R533" s="23">
        <v>42.257719999999999</v>
      </c>
      <c r="S533" s="8">
        <v>0.78319000000000005</v>
      </c>
      <c r="T533" s="9">
        <v>5.1434300000000004</v>
      </c>
      <c r="U533" s="24">
        <v>2.89045</v>
      </c>
    </row>
    <row r="534" spans="1:21" ht="12" customHeight="1" x14ac:dyDescent="0.25">
      <c r="A534" s="5">
        <v>1233</v>
      </c>
      <c r="B534" s="19" t="s">
        <v>268</v>
      </c>
      <c r="C534" s="19" t="s">
        <v>12</v>
      </c>
      <c r="D534" s="5" t="s">
        <v>269</v>
      </c>
      <c r="E534" s="6">
        <v>367008.71923236002</v>
      </c>
      <c r="F534" s="6">
        <v>6548295.6863094</v>
      </c>
      <c r="G534" s="7" t="str">
        <f>HYPERLINK("https://minkarta.lantmateriet.se/?e=367008,71923236&amp;n=6548295,6863094&amp;z=12&amp;profile=flygbildmedgranser&amp;background=2&amp;boundaries=true","Visa")</f>
        <v>Visa</v>
      </c>
      <c r="H534" s="5" t="s">
        <v>10</v>
      </c>
      <c r="I534" s="8">
        <v>41.329619999999998</v>
      </c>
      <c r="J534" s="9">
        <v>50.917389999999997</v>
      </c>
      <c r="K534" s="9">
        <v>52.445970000000003</v>
      </c>
      <c r="L534" s="14">
        <v>42.252920000000003</v>
      </c>
      <c r="M534" s="9">
        <v>51.346499999999999</v>
      </c>
      <c r="N534" s="9">
        <v>52.964460000000003</v>
      </c>
      <c r="O534" s="14">
        <v>42.56747</v>
      </c>
      <c r="P534" s="9">
        <v>51.374949999999998</v>
      </c>
      <c r="Q534" s="9">
        <v>52.993789999999997</v>
      </c>
      <c r="R534" s="23">
        <v>40.753909999999998</v>
      </c>
      <c r="S534" s="8">
        <v>0.31455</v>
      </c>
      <c r="T534" s="9">
        <v>2.845E-2</v>
      </c>
      <c r="U534" s="24">
        <v>2.9329999999999998E-2</v>
      </c>
    </row>
    <row r="535" spans="1:21" ht="12" customHeight="1" x14ac:dyDescent="0.25">
      <c r="A535" s="5">
        <v>1234</v>
      </c>
      <c r="B535" s="19" t="s">
        <v>268</v>
      </c>
      <c r="C535" s="19" t="s">
        <v>12</v>
      </c>
      <c r="D535" s="5" t="s">
        <v>269</v>
      </c>
      <c r="E535" s="6">
        <v>367012.64469436998</v>
      </c>
      <c r="F535" s="6">
        <v>6548288.8667329</v>
      </c>
      <c r="G535" s="7" t="str">
        <f>HYPERLINK("https://minkarta.lantmateriet.se/?e=367012,64469437&amp;n=6548288,8667329&amp;z=12&amp;profile=flygbildmedgranser&amp;background=2&amp;boundaries=true","Visa")</f>
        <v>Visa</v>
      </c>
      <c r="H535" s="5" t="s">
        <v>11</v>
      </c>
      <c r="I535" s="8">
        <v>39.306399999999996</v>
      </c>
      <c r="J535" s="9">
        <v>45.727269999999997</v>
      </c>
      <c r="K535" s="9">
        <v>47.255850000000002</v>
      </c>
      <c r="L535" s="14">
        <v>40.243319999999997</v>
      </c>
      <c r="M535" s="9">
        <v>46.156379999999999</v>
      </c>
      <c r="N535" s="9">
        <v>47.774349999999998</v>
      </c>
      <c r="O535" s="14">
        <v>40.377760000000002</v>
      </c>
      <c r="P535" s="9">
        <v>46.184829999999998</v>
      </c>
      <c r="Q535" s="9">
        <v>47.803669999999997</v>
      </c>
      <c r="R535" s="23">
        <v>34.029159999999997</v>
      </c>
      <c r="S535" s="8">
        <v>0.13444</v>
      </c>
      <c r="T535" s="9">
        <v>2.845E-2</v>
      </c>
      <c r="U535" s="24">
        <v>2.9319999999999999E-2</v>
      </c>
    </row>
    <row r="536" spans="1:21" ht="12" customHeight="1" x14ac:dyDescent="0.25">
      <c r="A536" s="5">
        <v>1235</v>
      </c>
      <c r="B536" s="19" t="s">
        <v>270</v>
      </c>
      <c r="C536" s="19" t="s">
        <v>12</v>
      </c>
      <c r="D536" s="5" t="s">
        <v>271</v>
      </c>
      <c r="E536" s="6">
        <v>367030.31829226</v>
      </c>
      <c r="F536" s="6">
        <v>6548304.6007361002</v>
      </c>
      <c r="G536" s="7" t="str">
        <f>HYPERLINK("https://minkarta.lantmateriet.se/?e=367030,31829226&amp;n=6548304,6007361&amp;z=12&amp;profile=flygbildmedgranser&amp;background=2&amp;boundaries=true","Visa")</f>
        <v>Visa</v>
      </c>
      <c r="H536" s="5" t="s">
        <v>8</v>
      </c>
      <c r="I536" s="8">
        <v>39.157600000000002</v>
      </c>
      <c r="J536" s="9">
        <v>43.118369999999999</v>
      </c>
      <c r="K536" s="9">
        <v>44.572330000000001</v>
      </c>
      <c r="L536" s="14">
        <v>40.098840000000003</v>
      </c>
      <c r="M536" s="9">
        <v>43.61786</v>
      </c>
      <c r="N536" s="9">
        <v>47.088520000000003</v>
      </c>
      <c r="O536" s="14">
        <v>40.392220000000002</v>
      </c>
      <c r="P536" s="9">
        <v>44.602679999999999</v>
      </c>
      <c r="Q536" s="9">
        <v>47.457250000000002</v>
      </c>
      <c r="R536" s="23">
        <v>35.745570000000001</v>
      </c>
      <c r="S536" s="8">
        <v>0.29337999999999997</v>
      </c>
      <c r="T536" s="9">
        <v>0.98482000000000003</v>
      </c>
      <c r="U536" s="24">
        <v>0.36873</v>
      </c>
    </row>
    <row r="537" spans="1:21" ht="12" customHeight="1" x14ac:dyDescent="0.25">
      <c r="A537" s="5">
        <v>1236</v>
      </c>
      <c r="B537" s="19" t="s">
        <v>270</v>
      </c>
      <c r="C537" s="19" t="s">
        <v>12</v>
      </c>
      <c r="D537" s="5" t="s">
        <v>271</v>
      </c>
      <c r="E537" s="6">
        <v>367026.10726657999</v>
      </c>
      <c r="F537" s="6">
        <v>6548311.9867933998</v>
      </c>
      <c r="G537" s="7" t="str">
        <f>HYPERLINK("https://minkarta.lantmateriet.se/?e=367026,10726658&amp;n=6548311,9867934&amp;z=12&amp;profile=flygbildmedgranser&amp;background=2&amp;boundaries=true","Visa")</f>
        <v>Visa</v>
      </c>
      <c r="H537" s="5" t="s">
        <v>9</v>
      </c>
      <c r="I537" s="8">
        <v>38.709090000000003</v>
      </c>
      <c r="J537" s="9">
        <v>41.596260000000001</v>
      </c>
      <c r="K537" s="9">
        <v>43.124839999999999</v>
      </c>
      <c r="L537" s="14">
        <v>39.64611</v>
      </c>
      <c r="M537" s="9">
        <v>42.025370000000002</v>
      </c>
      <c r="N537" s="9">
        <v>45.368290000000002</v>
      </c>
      <c r="O537" s="14">
        <v>40.610720000000001</v>
      </c>
      <c r="P537" s="9">
        <v>47.376930000000002</v>
      </c>
      <c r="Q537" s="9">
        <v>47.376930000000002</v>
      </c>
      <c r="R537" s="23">
        <v>42.6158</v>
      </c>
      <c r="S537" s="8">
        <v>0.96460999999999997</v>
      </c>
      <c r="T537" s="9">
        <v>5.3515600000000001</v>
      </c>
      <c r="U537" s="24">
        <v>2.0086400000000002</v>
      </c>
    </row>
    <row r="538" spans="1:21" ht="12" customHeight="1" x14ac:dyDescent="0.25">
      <c r="A538" s="5">
        <v>1237</v>
      </c>
      <c r="B538" s="19" t="s">
        <v>270</v>
      </c>
      <c r="C538" s="19" t="s">
        <v>12</v>
      </c>
      <c r="D538" s="5" t="s">
        <v>271</v>
      </c>
      <c r="E538" s="6">
        <v>367017.61970973999</v>
      </c>
      <c r="F538" s="6">
        <v>6548311.4842678998</v>
      </c>
      <c r="G538" s="7" t="str">
        <f>HYPERLINK("https://minkarta.lantmateriet.se/?e=367017,61970974&amp;n=6548311,4842679&amp;z=12&amp;profile=flygbildmedgranser&amp;background=2&amp;boundaries=true","Visa")</f>
        <v>Visa</v>
      </c>
      <c r="H538" s="5" t="s">
        <v>10</v>
      </c>
      <c r="I538" s="8">
        <v>41.943190000000001</v>
      </c>
      <c r="J538" s="9">
        <v>50.838659999999997</v>
      </c>
      <c r="K538" s="9">
        <v>52.367240000000002</v>
      </c>
      <c r="L538" s="14">
        <v>42.861800000000002</v>
      </c>
      <c r="M538" s="9">
        <v>51.267769999999999</v>
      </c>
      <c r="N538" s="9">
        <v>52.885730000000002</v>
      </c>
      <c r="O538" s="14">
        <v>43.158729999999998</v>
      </c>
      <c r="P538" s="9">
        <v>51.296219999999998</v>
      </c>
      <c r="Q538" s="9">
        <v>52.915050000000001</v>
      </c>
      <c r="R538" s="23">
        <v>41.300379999999997</v>
      </c>
      <c r="S538" s="8">
        <v>0.29693000000000003</v>
      </c>
      <c r="T538" s="9">
        <v>2.845E-2</v>
      </c>
      <c r="U538" s="24">
        <v>2.9319999999999999E-2</v>
      </c>
    </row>
    <row r="539" spans="1:21" ht="12" customHeight="1" x14ac:dyDescent="0.25">
      <c r="A539" s="5">
        <v>1238</v>
      </c>
      <c r="B539" s="19" t="s">
        <v>270</v>
      </c>
      <c r="C539" s="19" t="s">
        <v>12</v>
      </c>
      <c r="D539" s="5" t="s">
        <v>271</v>
      </c>
      <c r="E539" s="6">
        <v>367021.83073541999</v>
      </c>
      <c r="F539" s="6">
        <v>6548304.0982106002</v>
      </c>
      <c r="G539" s="7" t="str">
        <f>HYPERLINK("https://minkarta.lantmateriet.se/?e=367021,83073542&amp;n=6548304,0982106&amp;z=12&amp;profile=flygbildmedgranser&amp;background=2&amp;boundaries=true","Visa")</f>
        <v>Visa</v>
      </c>
      <c r="H539" s="5" t="s">
        <v>11</v>
      </c>
      <c r="I539" s="8">
        <v>38.042929999999998</v>
      </c>
      <c r="J539" s="9">
        <v>41.670299999999997</v>
      </c>
      <c r="K539" s="9">
        <v>43.198880000000003</v>
      </c>
      <c r="L539" s="14">
        <v>38.968179999999997</v>
      </c>
      <c r="M539" s="9">
        <v>42.099409999999999</v>
      </c>
      <c r="N539" s="9">
        <v>43.717370000000003</v>
      </c>
      <c r="O539" s="14">
        <v>39.057090000000002</v>
      </c>
      <c r="P539" s="9">
        <v>42.842599999999997</v>
      </c>
      <c r="Q539" s="9">
        <v>43.746690000000001</v>
      </c>
      <c r="R539" s="23">
        <v>39.029670000000003</v>
      </c>
      <c r="S539" s="8">
        <v>8.8910000000000003E-2</v>
      </c>
      <c r="T539" s="9">
        <v>0.74319000000000002</v>
      </c>
      <c r="U539" s="24">
        <v>2.9319999999999999E-2</v>
      </c>
    </row>
    <row r="540" spans="1:21" ht="12" customHeight="1" x14ac:dyDescent="0.25">
      <c r="A540" s="5">
        <v>1273</v>
      </c>
      <c r="B540" s="19" t="s">
        <v>272</v>
      </c>
      <c r="C540" s="19" t="s">
        <v>17</v>
      </c>
      <c r="D540" s="5" t="s">
        <v>273</v>
      </c>
      <c r="E540" s="6">
        <v>366657.29734653002</v>
      </c>
      <c r="F540" s="6">
        <v>6548907.7600264</v>
      </c>
      <c r="G540" s="7" t="str">
        <f>HYPERLINK("https://minkarta.lantmateriet.se/?e=366657,29734653&amp;n=6548907,7600264&amp;z=12&amp;profile=flygbildmedgranser&amp;background=2&amp;boundaries=true","Visa")</f>
        <v>Visa</v>
      </c>
      <c r="H540" s="5" t="s">
        <v>10</v>
      </c>
      <c r="I540" s="8">
        <v>41.70196</v>
      </c>
      <c r="J540" s="9">
        <v>49.974760000000003</v>
      </c>
      <c r="K540" s="9">
        <v>51.543509999999998</v>
      </c>
      <c r="L540" s="14">
        <v>42.601550000000003</v>
      </c>
      <c r="M540" s="9">
        <v>50.431289999999997</v>
      </c>
      <c r="N540" s="9">
        <v>52.049010000000003</v>
      </c>
      <c r="O540" s="14">
        <v>42.808680000000003</v>
      </c>
      <c r="P540" s="9">
        <v>50.46237</v>
      </c>
      <c r="Q540" s="9">
        <v>52.078609999999998</v>
      </c>
      <c r="R540" s="23">
        <v>32.457500000000003</v>
      </c>
      <c r="S540" s="8">
        <v>0.20713000000000001</v>
      </c>
      <c r="T540" s="9">
        <v>3.108E-2</v>
      </c>
      <c r="U540" s="24">
        <v>2.9600000000000001E-2</v>
      </c>
    </row>
    <row r="541" spans="1:21" ht="12" customHeight="1" x14ac:dyDescent="0.25">
      <c r="A541" s="5">
        <v>1275</v>
      </c>
      <c r="B541" s="19" t="s">
        <v>272</v>
      </c>
      <c r="C541" s="19" t="s">
        <v>17</v>
      </c>
      <c r="D541" s="5" t="s">
        <v>274</v>
      </c>
      <c r="E541" s="6">
        <v>366632.11387523997</v>
      </c>
      <c r="F541" s="6">
        <v>6548915.9635910997</v>
      </c>
      <c r="G541" s="7" t="str">
        <f>HYPERLINK("https://minkarta.lantmateriet.se/?e=366632,11387524&amp;n=6548915,9635911&amp;z=12&amp;profile=flygbildmedgranser&amp;background=2&amp;boundaries=true","Visa")</f>
        <v>Visa</v>
      </c>
      <c r="H541" s="5" t="s">
        <v>10</v>
      </c>
      <c r="I541" s="8">
        <v>38.700850000000003</v>
      </c>
      <c r="J541" s="9">
        <v>39.912869999999998</v>
      </c>
      <c r="K541" s="9">
        <v>41.481619999999999</v>
      </c>
      <c r="L541" s="14">
        <v>39.597540000000002</v>
      </c>
      <c r="M541" s="9">
        <v>40.369399999999999</v>
      </c>
      <c r="N541" s="9">
        <v>41.987119999999997</v>
      </c>
      <c r="O541" s="14">
        <v>39.719830000000002</v>
      </c>
      <c r="P541" s="9">
        <v>40.400480000000002</v>
      </c>
      <c r="Q541" s="9">
        <v>42.016719999999999</v>
      </c>
      <c r="R541" s="23">
        <v>22.947959999999998</v>
      </c>
      <c r="S541" s="8">
        <v>0.12229</v>
      </c>
      <c r="T541" s="9">
        <v>3.108E-2</v>
      </c>
      <c r="U541" s="24">
        <v>2.9600000000000001E-2</v>
      </c>
    </row>
    <row r="542" spans="1:21" ht="12" customHeight="1" x14ac:dyDescent="0.25">
      <c r="A542" s="5">
        <v>1277</v>
      </c>
      <c r="B542" s="19" t="s">
        <v>272</v>
      </c>
      <c r="C542" s="19" t="s">
        <v>17</v>
      </c>
      <c r="D542" s="5" t="s">
        <v>275</v>
      </c>
      <c r="E542" s="6">
        <v>366678.54007797001</v>
      </c>
      <c r="F542" s="6">
        <v>6548922.6136331996</v>
      </c>
      <c r="G542" s="7" t="str">
        <f>HYPERLINK("https://minkarta.lantmateriet.se/?e=366678,54007797&amp;n=6548922,6136332&amp;z=12&amp;profile=flygbildmedgranser&amp;background=2&amp;boundaries=true","Visa")</f>
        <v>Visa</v>
      </c>
      <c r="H542" s="5" t="s">
        <v>9</v>
      </c>
      <c r="I542" s="8">
        <v>44.218020000000003</v>
      </c>
      <c r="J542" s="9">
        <v>54.073619999999998</v>
      </c>
      <c r="K542" s="9">
        <v>55.64237</v>
      </c>
      <c r="L542" s="14">
        <v>45.131369999999997</v>
      </c>
      <c r="M542" s="9">
        <v>54.530149999999999</v>
      </c>
      <c r="N542" s="9">
        <v>56.147869999999998</v>
      </c>
      <c r="O542" s="14">
        <v>45.339590000000001</v>
      </c>
      <c r="P542" s="9">
        <v>54.561230000000002</v>
      </c>
      <c r="Q542" s="9">
        <v>56.17747</v>
      </c>
      <c r="R542" s="23">
        <v>31.35763</v>
      </c>
      <c r="S542" s="8">
        <v>0.20821999999999999</v>
      </c>
      <c r="T542" s="9">
        <v>3.108E-2</v>
      </c>
      <c r="U542" s="24">
        <v>2.9600000000000001E-2</v>
      </c>
    </row>
    <row r="543" spans="1:21" ht="12" customHeight="1" x14ac:dyDescent="0.25">
      <c r="A543" s="5">
        <v>1279</v>
      </c>
      <c r="B543" s="19" t="s">
        <v>272</v>
      </c>
      <c r="C543" s="19" t="s">
        <v>17</v>
      </c>
      <c r="D543" s="5" t="s">
        <v>273</v>
      </c>
      <c r="E543" s="6">
        <v>366657.55087380001</v>
      </c>
      <c r="F543" s="6">
        <v>6548905.1123933997</v>
      </c>
      <c r="G543" s="7" t="str">
        <f>HYPERLINK("https://minkarta.lantmateriet.se/?e=366657,5508738&amp;n=6548905,1123934&amp;z=12&amp;profile=flygbildmedgranser&amp;background=2&amp;boundaries=true","Visa")</f>
        <v>Visa</v>
      </c>
      <c r="H543" s="5" t="s">
        <v>11</v>
      </c>
      <c r="I543" s="8">
        <v>43.011310000000002</v>
      </c>
      <c r="J543" s="9">
        <v>53.051830000000002</v>
      </c>
      <c r="K543" s="9">
        <v>54.620570000000001</v>
      </c>
      <c r="L543" s="14">
        <v>43.913670000000003</v>
      </c>
      <c r="M543" s="9">
        <v>53.50835</v>
      </c>
      <c r="N543" s="9">
        <v>55.126080000000002</v>
      </c>
      <c r="O543" s="14">
        <v>44.155230000000003</v>
      </c>
      <c r="P543" s="9">
        <v>53.539569999999998</v>
      </c>
      <c r="Q543" s="9">
        <v>55.155819999999999</v>
      </c>
      <c r="R543" s="23">
        <v>32.088299999999997</v>
      </c>
      <c r="S543" s="8">
        <v>0.24156</v>
      </c>
      <c r="T543" s="9">
        <v>3.1220000000000001E-2</v>
      </c>
      <c r="U543" s="24">
        <v>2.9739999999999999E-2</v>
      </c>
    </row>
    <row r="544" spans="1:21" ht="12" customHeight="1" x14ac:dyDescent="0.25">
      <c r="A544" s="5">
        <v>1284</v>
      </c>
      <c r="B544" s="19" t="s">
        <v>272</v>
      </c>
      <c r="C544" s="19" t="s">
        <v>17</v>
      </c>
      <c r="D544" s="5" t="s">
        <v>274</v>
      </c>
      <c r="E544" s="6">
        <v>366639.83444249001</v>
      </c>
      <c r="F544" s="6">
        <v>6548906.2948626</v>
      </c>
      <c r="G544" s="7" t="str">
        <f>HYPERLINK("https://minkarta.lantmateriet.se/?e=366639,83444249&amp;n=6548906,2948626&amp;z=12&amp;profile=flygbildmedgranser&amp;background=2&amp;boundaries=true","Visa")</f>
        <v>Visa</v>
      </c>
      <c r="H544" s="5" t="s">
        <v>11</v>
      </c>
      <c r="I544" s="8">
        <v>43.523339999999997</v>
      </c>
      <c r="J544" s="9">
        <v>49.779060000000001</v>
      </c>
      <c r="K544" s="9">
        <v>51.347810000000003</v>
      </c>
      <c r="L544" s="14">
        <v>44.42942</v>
      </c>
      <c r="M544" s="9">
        <v>50.235590000000002</v>
      </c>
      <c r="N544" s="9">
        <v>51.85331</v>
      </c>
      <c r="O544" s="14">
        <v>44.784770000000002</v>
      </c>
      <c r="P544" s="9">
        <v>50.266669999999998</v>
      </c>
      <c r="Q544" s="9">
        <v>51.882919999999999</v>
      </c>
      <c r="R544" s="23">
        <v>36.983310000000003</v>
      </c>
      <c r="S544" s="8">
        <v>0.35535</v>
      </c>
      <c r="T544" s="9">
        <v>3.108E-2</v>
      </c>
      <c r="U544" s="24">
        <v>2.9610000000000001E-2</v>
      </c>
    </row>
    <row r="545" spans="1:21" ht="12" customHeight="1" x14ac:dyDescent="0.25">
      <c r="A545" s="5">
        <v>1285</v>
      </c>
      <c r="B545" s="19" t="s">
        <v>272</v>
      </c>
      <c r="C545" s="19" t="s">
        <v>17</v>
      </c>
      <c r="D545" s="5" t="s">
        <v>275</v>
      </c>
      <c r="E545" s="6">
        <v>366664.48489421001</v>
      </c>
      <c r="F545" s="6">
        <v>6548925.6961331004</v>
      </c>
      <c r="G545" s="7" t="str">
        <f>HYPERLINK("https://minkarta.lantmateriet.se/?e=366664,48489421&amp;n=6548925,6961331&amp;z=12&amp;profile=flygbildmedgranser&amp;background=2&amp;boundaries=true","Visa")</f>
        <v>Visa</v>
      </c>
      <c r="H545" s="5" t="s">
        <v>10</v>
      </c>
      <c r="I545" s="8">
        <v>41.768459999999997</v>
      </c>
      <c r="J545" s="9">
        <v>47.821829999999999</v>
      </c>
      <c r="K545" s="9">
        <v>49.39058</v>
      </c>
      <c r="L545" s="14">
        <v>42.661320000000003</v>
      </c>
      <c r="M545" s="9">
        <v>48.278350000000003</v>
      </c>
      <c r="N545" s="9">
        <v>49.896079999999998</v>
      </c>
      <c r="O545" s="14">
        <v>42.823540000000001</v>
      </c>
      <c r="P545" s="9">
        <v>48.309440000000002</v>
      </c>
      <c r="Q545" s="9">
        <v>49.92568</v>
      </c>
      <c r="R545" s="23">
        <v>26.887139999999999</v>
      </c>
      <c r="S545" s="8">
        <v>0.16222</v>
      </c>
      <c r="T545" s="9">
        <v>3.109E-2</v>
      </c>
      <c r="U545" s="24">
        <v>2.9600000000000001E-2</v>
      </c>
    </row>
    <row r="546" spans="1:21" ht="12" customHeight="1" x14ac:dyDescent="0.25">
      <c r="A546" s="5">
        <v>1288</v>
      </c>
      <c r="B546" s="19" t="s">
        <v>272</v>
      </c>
      <c r="C546" s="19" t="s">
        <v>17</v>
      </c>
      <c r="D546" s="5" t="s">
        <v>276</v>
      </c>
      <c r="E546" s="6">
        <v>366658.27862385003</v>
      </c>
      <c r="F546" s="6">
        <v>6548922.4494064003</v>
      </c>
      <c r="G546" s="7" t="str">
        <f>HYPERLINK("https://minkarta.lantmateriet.se/?e=366658,27862385&amp;n=6548922,4494064&amp;z=12&amp;profile=flygbildmedgranser&amp;background=2&amp;boundaries=true","Visa")</f>
        <v>Visa</v>
      </c>
      <c r="H546" s="5" t="s">
        <v>8</v>
      </c>
      <c r="I546" s="8">
        <v>40.522460000000002</v>
      </c>
      <c r="J546" s="9">
        <v>47.645359999999997</v>
      </c>
      <c r="K546" s="9">
        <v>49.214109999999998</v>
      </c>
      <c r="L546" s="14">
        <v>41.433010000000003</v>
      </c>
      <c r="M546" s="9">
        <v>48.101889999999997</v>
      </c>
      <c r="N546" s="9">
        <v>49.719610000000003</v>
      </c>
      <c r="O546" s="14">
        <v>41.597160000000002</v>
      </c>
      <c r="P546" s="9">
        <v>48.13297</v>
      </c>
      <c r="Q546" s="9">
        <v>49.749209999999998</v>
      </c>
      <c r="R546" s="23">
        <v>29.792590000000001</v>
      </c>
      <c r="S546" s="8">
        <v>0.16414999999999999</v>
      </c>
      <c r="T546" s="9">
        <v>3.108E-2</v>
      </c>
      <c r="U546" s="24">
        <v>2.9600000000000001E-2</v>
      </c>
    </row>
    <row r="547" spans="1:21" ht="12" customHeight="1" x14ac:dyDescent="0.25">
      <c r="A547" s="5">
        <v>1289</v>
      </c>
      <c r="B547" s="19" t="s">
        <v>272</v>
      </c>
      <c r="C547" s="19" t="s">
        <v>17</v>
      </c>
      <c r="D547" s="5" t="s">
        <v>274</v>
      </c>
      <c r="E547" s="6">
        <v>366651.14113991999</v>
      </c>
      <c r="F547" s="6">
        <v>6548904.6539423997</v>
      </c>
      <c r="G547" s="7" t="str">
        <f>HYPERLINK("https://minkarta.lantmateriet.se/?e=366651,14113992&amp;n=6548904,6539424&amp;z=12&amp;profile=flygbildmedgranser&amp;background=2&amp;boundaries=true","Visa")</f>
        <v>Visa</v>
      </c>
      <c r="H547" s="5" t="s">
        <v>8</v>
      </c>
      <c r="I547" s="8">
        <v>43.868470000000002</v>
      </c>
      <c r="J547" s="9">
        <v>51.92259</v>
      </c>
      <c r="K547" s="9">
        <v>53.491340000000001</v>
      </c>
      <c r="L547" s="14">
        <v>44.778300000000002</v>
      </c>
      <c r="M547" s="9">
        <v>52.37912</v>
      </c>
      <c r="N547" s="9">
        <v>53.996839999999999</v>
      </c>
      <c r="O547" s="14">
        <v>45.067349999999998</v>
      </c>
      <c r="P547" s="9">
        <v>52.410200000000003</v>
      </c>
      <c r="Q547" s="9">
        <v>54.026440000000001</v>
      </c>
      <c r="R547" s="23">
        <v>36.599089999999997</v>
      </c>
      <c r="S547" s="8">
        <v>0.28904999999999997</v>
      </c>
      <c r="T547" s="9">
        <v>3.108E-2</v>
      </c>
      <c r="U547" s="24">
        <v>2.9600000000000001E-2</v>
      </c>
    </row>
    <row r="548" spans="1:21" ht="12" customHeight="1" x14ac:dyDescent="0.25">
      <c r="A548" s="5">
        <v>1290</v>
      </c>
      <c r="B548" s="19" t="s">
        <v>272</v>
      </c>
      <c r="C548" s="19" t="s">
        <v>17</v>
      </c>
      <c r="D548" s="5" t="s">
        <v>273</v>
      </c>
      <c r="E548" s="6">
        <v>366657.47186922998</v>
      </c>
      <c r="F548" s="6">
        <v>6548901.8000776004</v>
      </c>
      <c r="G548" s="7" t="str">
        <f>HYPERLINK("https://minkarta.lantmateriet.se/?e=366657,47186923&amp;n=6548901,8000776&amp;z=12&amp;profile=flygbildmedgranser&amp;background=2&amp;boundaries=true","Visa")</f>
        <v>Visa</v>
      </c>
      <c r="H548" s="5" t="s">
        <v>10</v>
      </c>
      <c r="I548" s="8">
        <v>41.033200000000001</v>
      </c>
      <c r="J548" s="9">
        <v>50.525030000000001</v>
      </c>
      <c r="K548" s="9">
        <v>52.093780000000002</v>
      </c>
      <c r="L548" s="14">
        <v>41.930239999999998</v>
      </c>
      <c r="M548" s="9">
        <v>50.981560000000002</v>
      </c>
      <c r="N548" s="9">
        <v>52.59928</v>
      </c>
      <c r="O548" s="14">
        <v>42.037889999999997</v>
      </c>
      <c r="P548" s="9">
        <v>51.012639999999998</v>
      </c>
      <c r="Q548" s="9">
        <v>52.628880000000002</v>
      </c>
      <c r="R548" s="23">
        <v>25.43947</v>
      </c>
      <c r="S548" s="8">
        <v>0.10765</v>
      </c>
      <c r="T548" s="9">
        <v>3.108E-2</v>
      </c>
      <c r="U548" s="24">
        <v>2.9600000000000001E-2</v>
      </c>
    </row>
    <row r="549" spans="1:21" ht="12" customHeight="1" x14ac:dyDescent="0.25">
      <c r="A549" s="5">
        <v>1292</v>
      </c>
      <c r="B549" s="19" t="s">
        <v>272</v>
      </c>
      <c r="C549" s="19" t="s">
        <v>17</v>
      </c>
      <c r="D549" s="5" t="s">
        <v>273</v>
      </c>
      <c r="E549" s="6">
        <v>366666.25342621998</v>
      </c>
      <c r="F549" s="6">
        <v>6548894.5203697998</v>
      </c>
      <c r="G549" s="7" t="str">
        <f>HYPERLINK("https://minkarta.lantmateriet.se/?e=366666,25342622&amp;n=6548894,5203698&amp;z=12&amp;profile=flygbildmedgranser&amp;background=2&amp;boundaries=true","Visa")</f>
        <v>Visa</v>
      </c>
      <c r="H549" s="5" t="s">
        <v>11</v>
      </c>
      <c r="I549" s="8">
        <v>45.608620000000002</v>
      </c>
      <c r="J549" s="9">
        <v>53.455919999999999</v>
      </c>
      <c r="K549" s="9">
        <v>55.02467</v>
      </c>
      <c r="L549" s="14">
        <v>46.515059999999998</v>
      </c>
      <c r="M549" s="9">
        <v>53.91245</v>
      </c>
      <c r="N549" s="9">
        <v>55.530169999999998</v>
      </c>
      <c r="O549" s="14">
        <v>46.706910000000001</v>
      </c>
      <c r="P549" s="9">
        <v>53.943530000000003</v>
      </c>
      <c r="Q549" s="9">
        <v>55.55977</v>
      </c>
      <c r="R549" s="23">
        <v>36.634529999999998</v>
      </c>
      <c r="S549" s="8">
        <v>0.19184999999999999</v>
      </c>
      <c r="T549" s="9">
        <v>3.108E-2</v>
      </c>
      <c r="U549" s="24">
        <v>2.9600000000000001E-2</v>
      </c>
    </row>
    <row r="550" spans="1:21" ht="12" customHeight="1" x14ac:dyDescent="0.25">
      <c r="A550" s="5">
        <v>1293</v>
      </c>
      <c r="B550" s="19" t="s">
        <v>272</v>
      </c>
      <c r="C550" s="19" t="s">
        <v>17</v>
      </c>
      <c r="D550" s="5" t="s">
        <v>275</v>
      </c>
      <c r="E550" s="6">
        <v>366664.71739364997</v>
      </c>
      <c r="F550" s="6">
        <v>6548923.0608844003</v>
      </c>
      <c r="G550" s="7" t="str">
        <f>HYPERLINK("https://minkarta.lantmateriet.se/?e=366664,71739365&amp;n=6548923,0608844&amp;z=12&amp;profile=flygbildmedgranser&amp;background=2&amp;boundaries=true","Visa")</f>
        <v>Visa</v>
      </c>
      <c r="H550" s="5" t="s">
        <v>11</v>
      </c>
      <c r="I550" s="8">
        <v>41.017330000000001</v>
      </c>
      <c r="J550" s="9">
        <v>46.798520000000003</v>
      </c>
      <c r="K550" s="9">
        <v>48.367260000000002</v>
      </c>
      <c r="L550" s="14">
        <v>41.92136</v>
      </c>
      <c r="M550" s="9">
        <v>47.255040000000001</v>
      </c>
      <c r="N550" s="9">
        <v>48.87276</v>
      </c>
      <c r="O550" s="14">
        <v>42.096040000000002</v>
      </c>
      <c r="P550" s="9">
        <v>47.28613</v>
      </c>
      <c r="Q550" s="9">
        <v>48.902369999999998</v>
      </c>
      <c r="R550" s="23">
        <v>26.4254</v>
      </c>
      <c r="S550" s="8">
        <v>0.17468</v>
      </c>
      <c r="T550" s="9">
        <v>3.109E-2</v>
      </c>
      <c r="U550" s="24">
        <v>2.9610000000000001E-2</v>
      </c>
    </row>
    <row r="551" spans="1:21" ht="12" customHeight="1" x14ac:dyDescent="0.25">
      <c r="A551" s="5">
        <v>1294</v>
      </c>
      <c r="B551" s="19" t="s">
        <v>272</v>
      </c>
      <c r="C551" s="19" t="s">
        <v>17</v>
      </c>
      <c r="D551" s="5" t="s">
        <v>276</v>
      </c>
      <c r="E551" s="6">
        <v>366660.7553817</v>
      </c>
      <c r="F551" s="6">
        <v>6548924.8463898003</v>
      </c>
      <c r="G551" s="7" t="str">
        <f>HYPERLINK("https://minkarta.lantmateriet.se/?e=366660,7553817&amp;n=6548924,8463898&amp;z=12&amp;profile=flygbildmedgranser&amp;background=2&amp;boundaries=true","Visa")</f>
        <v>Visa</v>
      </c>
      <c r="H551" s="5" t="s">
        <v>11</v>
      </c>
      <c r="I551" s="8">
        <v>42.570729999999998</v>
      </c>
      <c r="J551" s="9">
        <v>47.685389999999998</v>
      </c>
      <c r="K551" s="9">
        <v>49.25414</v>
      </c>
      <c r="L551" s="14">
        <v>43.485759999999999</v>
      </c>
      <c r="M551" s="9">
        <v>48.141910000000003</v>
      </c>
      <c r="N551" s="9">
        <v>49.759639999999997</v>
      </c>
      <c r="O551" s="14">
        <v>43.648319999999998</v>
      </c>
      <c r="P551" s="9">
        <v>48.173000000000002</v>
      </c>
      <c r="Q551" s="9">
        <v>49.789239999999999</v>
      </c>
      <c r="R551" s="23">
        <v>30.75506</v>
      </c>
      <c r="S551" s="8">
        <v>0.16256000000000001</v>
      </c>
      <c r="T551" s="9">
        <v>3.109E-2</v>
      </c>
      <c r="U551" s="24">
        <v>2.9600000000000001E-2</v>
      </c>
    </row>
    <row r="552" spans="1:21" ht="12" customHeight="1" x14ac:dyDescent="0.25">
      <c r="A552" s="5">
        <v>1295</v>
      </c>
      <c r="B552" s="19" t="s">
        <v>272</v>
      </c>
      <c r="C552" s="19" t="s">
        <v>17</v>
      </c>
      <c r="D552" s="5" t="s">
        <v>274</v>
      </c>
      <c r="E552" s="6">
        <v>366653.56835750001</v>
      </c>
      <c r="F552" s="6">
        <v>6548906.9209008003</v>
      </c>
      <c r="G552" s="7" t="str">
        <f>HYPERLINK("https://minkarta.lantmateriet.se/?e=366653,5683575&amp;n=6548906,9209008&amp;z=12&amp;profile=flygbildmedgranser&amp;background=2&amp;boundaries=true","Visa")</f>
        <v>Visa</v>
      </c>
      <c r="H552" s="5" t="s">
        <v>11</v>
      </c>
      <c r="I552" s="8">
        <v>44.371319999999997</v>
      </c>
      <c r="J552" s="9">
        <v>50.573059999999998</v>
      </c>
      <c r="K552" s="9">
        <v>52.14181</v>
      </c>
      <c r="L552" s="14">
        <v>45.281280000000002</v>
      </c>
      <c r="M552" s="9">
        <v>51.029589999999999</v>
      </c>
      <c r="N552" s="9">
        <v>52.647309999999997</v>
      </c>
      <c r="O552" s="14">
        <v>45.525149999999996</v>
      </c>
      <c r="P552" s="9">
        <v>51.061790000000002</v>
      </c>
      <c r="Q552" s="9">
        <v>52.67803</v>
      </c>
      <c r="R552" s="23">
        <v>37.311059999999998</v>
      </c>
      <c r="S552" s="8">
        <v>0.24387</v>
      </c>
      <c r="T552" s="9">
        <v>3.2199999999999999E-2</v>
      </c>
      <c r="U552" s="24">
        <v>3.0720000000000001E-2</v>
      </c>
    </row>
    <row r="553" spans="1:21" ht="12" customHeight="1" x14ac:dyDescent="0.25">
      <c r="A553" s="5">
        <v>1297</v>
      </c>
      <c r="B553" s="19" t="s">
        <v>272</v>
      </c>
      <c r="C553" s="19" t="s">
        <v>17</v>
      </c>
      <c r="D553" s="5" t="s">
        <v>274</v>
      </c>
      <c r="E553" s="6">
        <v>366655.68367207999</v>
      </c>
      <c r="F553" s="6">
        <v>6548908.4810156003</v>
      </c>
      <c r="G553" s="7" t="str">
        <f>HYPERLINK("https://minkarta.lantmateriet.se/?e=366655,68367208&amp;n=6548908,4810156&amp;z=12&amp;profile=flygbildmedgranser&amp;background=2&amp;boundaries=true","Visa")</f>
        <v>Visa</v>
      </c>
      <c r="H553" s="5" t="s">
        <v>8</v>
      </c>
      <c r="I553" s="8">
        <v>43.202469999999998</v>
      </c>
      <c r="J553" s="9">
        <v>48.784309999999998</v>
      </c>
      <c r="K553" s="9">
        <v>50.353050000000003</v>
      </c>
      <c r="L553" s="14">
        <v>44.109780000000001</v>
      </c>
      <c r="M553" s="9">
        <v>49.240830000000003</v>
      </c>
      <c r="N553" s="9">
        <v>50.858550000000001</v>
      </c>
      <c r="O553" s="14">
        <v>44.26155</v>
      </c>
      <c r="P553" s="9">
        <v>49.271920000000001</v>
      </c>
      <c r="Q553" s="9">
        <v>50.888159999999999</v>
      </c>
      <c r="R553" s="23">
        <v>31.59592</v>
      </c>
      <c r="S553" s="8">
        <v>0.15176999999999999</v>
      </c>
      <c r="T553" s="9">
        <v>3.109E-2</v>
      </c>
      <c r="U553" s="24">
        <v>2.9610000000000001E-2</v>
      </c>
    </row>
    <row r="554" spans="1:21" ht="12" customHeight="1" x14ac:dyDescent="0.25">
      <c r="A554" s="5">
        <v>1298</v>
      </c>
      <c r="B554" s="19" t="s">
        <v>272</v>
      </c>
      <c r="C554" s="19" t="s">
        <v>17</v>
      </c>
      <c r="D554" s="5" t="s">
        <v>273</v>
      </c>
      <c r="E554" s="6">
        <v>366678.61313309998</v>
      </c>
      <c r="F554" s="6">
        <v>6548895.2589271003</v>
      </c>
      <c r="G554" s="7" t="str">
        <f>HYPERLINK("https://minkarta.lantmateriet.se/?e=366678,6131331&amp;n=6548895,2589271&amp;z=12&amp;profile=flygbildmedgranser&amp;background=2&amp;boundaries=true","Visa")</f>
        <v>Visa</v>
      </c>
      <c r="H554" s="5" t="s">
        <v>8</v>
      </c>
      <c r="I554" s="8">
        <v>46.061709999999998</v>
      </c>
      <c r="J554" s="9">
        <v>52.457320000000003</v>
      </c>
      <c r="K554" s="9">
        <v>54.026069999999997</v>
      </c>
      <c r="L554" s="14">
        <v>46.97298</v>
      </c>
      <c r="M554" s="9">
        <v>52.913849999999996</v>
      </c>
      <c r="N554" s="9">
        <v>54.531570000000002</v>
      </c>
      <c r="O554" s="14">
        <v>47.173499999999997</v>
      </c>
      <c r="P554" s="9">
        <v>52.944929999999999</v>
      </c>
      <c r="Q554" s="9">
        <v>54.56118</v>
      </c>
      <c r="R554" s="23">
        <v>37.070770000000003</v>
      </c>
      <c r="S554" s="8">
        <v>0.20052</v>
      </c>
      <c r="T554" s="9">
        <v>3.108E-2</v>
      </c>
      <c r="U554" s="24">
        <v>2.9610000000000001E-2</v>
      </c>
    </row>
    <row r="555" spans="1:21" ht="12" customHeight="1" x14ac:dyDescent="0.25">
      <c r="A555" s="5">
        <v>1301</v>
      </c>
      <c r="B555" s="19" t="s">
        <v>272</v>
      </c>
      <c r="C555" s="19" t="s">
        <v>17</v>
      </c>
      <c r="D555" s="5" t="s">
        <v>275</v>
      </c>
      <c r="E555" s="6">
        <v>366664.58687091002</v>
      </c>
      <c r="F555" s="6">
        <v>6548919.6300814003</v>
      </c>
      <c r="G555" s="7" t="str">
        <f>HYPERLINK("https://minkarta.lantmateriet.se/?e=366664,58687091&amp;n=6548919,6300814&amp;z=12&amp;profile=flygbildmedgranser&amp;background=2&amp;boundaries=true","Visa")</f>
        <v>Visa</v>
      </c>
      <c r="H555" s="5" t="s">
        <v>10</v>
      </c>
      <c r="I555" s="8">
        <v>39.736139999999999</v>
      </c>
      <c r="J555" s="9">
        <v>42.538229999999999</v>
      </c>
      <c r="K555" s="9">
        <v>44.10698</v>
      </c>
      <c r="L555" s="14">
        <v>40.638240000000003</v>
      </c>
      <c r="M555" s="9">
        <v>42.994750000000003</v>
      </c>
      <c r="N555" s="9">
        <v>44.612470000000002</v>
      </c>
      <c r="O555" s="14">
        <v>40.795119999999997</v>
      </c>
      <c r="P555" s="9">
        <v>43.025829999999999</v>
      </c>
      <c r="Q555" s="9">
        <v>44.64208</v>
      </c>
      <c r="R555" s="23">
        <v>24.920760000000001</v>
      </c>
      <c r="S555" s="8">
        <v>0.15687999999999999</v>
      </c>
      <c r="T555" s="9">
        <v>3.108E-2</v>
      </c>
      <c r="U555" s="24">
        <v>2.9610000000000001E-2</v>
      </c>
    </row>
    <row r="556" spans="1:21" ht="12" customHeight="1" x14ac:dyDescent="0.25">
      <c r="A556" s="5">
        <v>1304</v>
      </c>
      <c r="B556" s="19" t="s">
        <v>272</v>
      </c>
      <c r="C556" s="19" t="s">
        <v>17</v>
      </c>
      <c r="D556" s="5" t="s">
        <v>273</v>
      </c>
      <c r="E556" s="6">
        <v>366670.90256419999</v>
      </c>
      <c r="F556" s="6">
        <v>6548904.9376392998</v>
      </c>
      <c r="G556" s="7" t="str">
        <f>HYPERLINK("https://minkarta.lantmateriet.se/?e=366670,9025642&amp;n=6548904,9376393&amp;z=12&amp;profile=flygbildmedgranser&amp;background=2&amp;boundaries=true","Visa")</f>
        <v>Visa</v>
      </c>
      <c r="H556" s="5" t="s">
        <v>9</v>
      </c>
      <c r="I556" s="8">
        <v>43.736420000000003</v>
      </c>
      <c r="J556" s="9">
        <v>52.565579999999997</v>
      </c>
      <c r="K556" s="9">
        <v>54.134329999999999</v>
      </c>
      <c r="L556" s="14">
        <v>44.645180000000003</v>
      </c>
      <c r="M556" s="9">
        <v>53.022109999999998</v>
      </c>
      <c r="N556" s="9">
        <v>54.639830000000003</v>
      </c>
      <c r="O556" s="14">
        <v>44.900680000000001</v>
      </c>
      <c r="P556" s="9">
        <v>53.053190000000001</v>
      </c>
      <c r="Q556" s="9">
        <v>54.669429999999998</v>
      </c>
      <c r="R556" s="23">
        <v>34.324420000000003</v>
      </c>
      <c r="S556" s="8">
        <v>0.2555</v>
      </c>
      <c r="T556" s="9">
        <v>3.108E-2</v>
      </c>
      <c r="U556" s="24">
        <v>2.9600000000000001E-2</v>
      </c>
    </row>
    <row r="557" spans="1:21" ht="12" customHeight="1" x14ac:dyDescent="0.25">
      <c r="A557" s="5">
        <v>1305</v>
      </c>
      <c r="B557" s="19" t="s">
        <v>272</v>
      </c>
      <c r="C557" s="19" t="s">
        <v>17</v>
      </c>
      <c r="D557" s="5" t="s">
        <v>277</v>
      </c>
      <c r="E557" s="6">
        <v>366681.89242838998</v>
      </c>
      <c r="F557" s="6">
        <v>6548929.5383689003</v>
      </c>
      <c r="G557" s="7" t="str">
        <f>HYPERLINK("https://minkarta.lantmateriet.se/?e=366681,89242839&amp;n=6548929,5383689&amp;z=12&amp;profile=flygbildmedgranser&amp;background=2&amp;boundaries=true","Visa")</f>
        <v>Visa</v>
      </c>
      <c r="H557" s="5" t="s">
        <v>11</v>
      </c>
      <c r="I557" s="8">
        <v>44.177999999999997</v>
      </c>
      <c r="J557" s="9">
        <v>53.830829999999999</v>
      </c>
      <c r="K557" s="9">
        <v>55.39958</v>
      </c>
      <c r="L557" s="14">
        <v>45.091970000000003</v>
      </c>
      <c r="M557" s="9">
        <v>54.28736</v>
      </c>
      <c r="N557" s="9">
        <v>55.905079999999998</v>
      </c>
      <c r="O557" s="14">
        <v>45.220030000000001</v>
      </c>
      <c r="P557" s="9">
        <v>54.318440000000002</v>
      </c>
      <c r="Q557" s="9">
        <v>55.93468</v>
      </c>
      <c r="R557" s="23">
        <v>32.414819999999999</v>
      </c>
      <c r="S557" s="8">
        <v>0.12806000000000001</v>
      </c>
      <c r="T557" s="9">
        <v>3.108E-2</v>
      </c>
      <c r="U557" s="24">
        <v>2.9600000000000001E-2</v>
      </c>
    </row>
    <row r="558" spans="1:21" ht="12" customHeight="1" x14ac:dyDescent="0.25">
      <c r="A558" s="5">
        <v>1306</v>
      </c>
      <c r="B558" s="19" t="s">
        <v>272</v>
      </c>
      <c r="C558" s="19" t="s">
        <v>17</v>
      </c>
      <c r="D558" s="5" t="s">
        <v>274</v>
      </c>
      <c r="E558" s="6">
        <v>366655.41003357997</v>
      </c>
      <c r="F558" s="6">
        <v>6548911.1111529004</v>
      </c>
      <c r="G558" s="7" t="str">
        <f>HYPERLINK("https://minkarta.lantmateriet.se/?e=366655,41003358&amp;n=6548911,1111529&amp;z=12&amp;profile=flygbildmedgranser&amp;background=2&amp;boundaries=true","Visa")</f>
        <v>Visa</v>
      </c>
      <c r="H558" s="5" t="s">
        <v>9</v>
      </c>
      <c r="I558" s="8">
        <v>41.001049999999999</v>
      </c>
      <c r="J558" s="9">
        <v>48.889409999999998</v>
      </c>
      <c r="K558" s="9">
        <v>50.458159999999999</v>
      </c>
      <c r="L558" s="14">
        <v>41.911250000000003</v>
      </c>
      <c r="M558" s="9">
        <v>49.345939999999999</v>
      </c>
      <c r="N558" s="9">
        <v>50.963659999999997</v>
      </c>
      <c r="O558" s="14">
        <v>42.08155</v>
      </c>
      <c r="P558" s="9">
        <v>49.377020000000002</v>
      </c>
      <c r="Q558" s="9">
        <v>50.993259999999999</v>
      </c>
      <c r="R558" s="23">
        <v>32.18168</v>
      </c>
      <c r="S558" s="8">
        <v>0.17030000000000001</v>
      </c>
      <c r="T558" s="9">
        <v>3.108E-2</v>
      </c>
      <c r="U558" s="24">
        <v>2.9600000000000001E-2</v>
      </c>
    </row>
    <row r="559" spans="1:21" ht="12" customHeight="1" x14ac:dyDescent="0.25">
      <c r="A559" s="5">
        <v>1308</v>
      </c>
      <c r="B559" s="19" t="s">
        <v>272</v>
      </c>
      <c r="C559" s="19" t="s">
        <v>17</v>
      </c>
      <c r="D559" s="5" t="s">
        <v>275</v>
      </c>
      <c r="E559" s="6">
        <v>366673.80292506999</v>
      </c>
      <c r="F559" s="6">
        <v>6548912.0103703998</v>
      </c>
      <c r="G559" s="7" t="str">
        <f>HYPERLINK("https://minkarta.lantmateriet.se/?e=366673,80292507&amp;n=6548912,0103704&amp;z=12&amp;profile=flygbildmedgranser&amp;background=2&amp;boundaries=true","Visa")</f>
        <v>Visa</v>
      </c>
      <c r="H559" s="5" t="s">
        <v>11</v>
      </c>
      <c r="I559" s="8">
        <v>44.228969999999997</v>
      </c>
      <c r="J559" s="9">
        <v>50.748899999999999</v>
      </c>
      <c r="K559" s="9">
        <v>52.31765</v>
      </c>
      <c r="L559" s="14">
        <v>45.140830000000001</v>
      </c>
      <c r="M559" s="9">
        <v>51.20543</v>
      </c>
      <c r="N559" s="9">
        <v>52.823149999999998</v>
      </c>
      <c r="O559" s="14">
        <v>45.273159999999997</v>
      </c>
      <c r="P559" s="9">
        <v>51.236510000000003</v>
      </c>
      <c r="Q559" s="9">
        <v>52.85275</v>
      </c>
      <c r="R559" s="23">
        <v>31.640319999999999</v>
      </c>
      <c r="S559" s="8">
        <v>0.13233</v>
      </c>
      <c r="T559" s="9">
        <v>3.108E-2</v>
      </c>
      <c r="U559" s="24">
        <v>2.9600000000000001E-2</v>
      </c>
    </row>
    <row r="560" spans="1:21" ht="12" customHeight="1" x14ac:dyDescent="0.25">
      <c r="A560" s="5">
        <v>1310</v>
      </c>
      <c r="B560" s="19" t="s">
        <v>272</v>
      </c>
      <c r="C560" s="19" t="s">
        <v>17</v>
      </c>
      <c r="D560" s="5" t="s">
        <v>274</v>
      </c>
      <c r="E560" s="6">
        <v>366644.47906571999</v>
      </c>
      <c r="F560" s="6">
        <v>6548916.7046386003</v>
      </c>
      <c r="G560" s="7" t="str">
        <f>HYPERLINK("https://minkarta.lantmateriet.se/?e=366644,47906572&amp;n=6548916,7046386&amp;z=12&amp;profile=flygbildmedgranser&amp;background=2&amp;boundaries=true","Visa")</f>
        <v>Visa</v>
      </c>
      <c r="H560" s="5" t="s">
        <v>9</v>
      </c>
      <c r="I560" s="8">
        <v>39.694499999999998</v>
      </c>
      <c r="J560" s="9">
        <v>47.67069</v>
      </c>
      <c r="K560" s="9">
        <v>49.239440000000002</v>
      </c>
      <c r="L560" s="14">
        <v>40.603610000000003</v>
      </c>
      <c r="M560" s="9">
        <v>48.127220000000001</v>
      </c>
      <c r="N560" s="9">
        <v>49.74494</v>
      </c>
      <c r="O560" s="14">
        <v>40.81682</v>
      </c>
      <c r="P560" s="9">
        <v>48.158299999999997</v>
      </c>
      <c r="Q560" s="9">
        <v>49.774540000000002</v>
      </c>
      <c r="R560" s="23">
        <v>28.494589999999999</v>
      </c>
      <c r="S560" s="8">
        <v>0.21321000000000001</v>
      </c>
      <c r="T560" s="9">
        <v>3.108E-2</v>
      </c>
      <c r="U560" s="24">
        <v>2.9600000000000001E-2</v>
      </c>
    </row>
    <row r="561" spans="1:21" ht="12" customHeight="1" x14ac:dyDescent="0.25">
      <c r="A561" s="5">
        <v>1311</v>
      </c>
      <c r="B561" s="19" t="s">
        <v>272</v>
      </c>
      <c r="C561" s="19" t="s">
        <v>17</v>
      </c>
      <c r="D561" s="5" t="s">
        <v>275</v>
      </c>
      <c r="E561" s="6">
        <v>366686.69313142</v>
      </c>
      <c r="F561" s="6">
        <v>6548912.6149233002</v>
      </c>
      <c r="G561" s="7" t="str">
        <f>HYPERLINK("https://minkarta.lantmateriet.se/?e=366686,69313142&amp;n=6548912,6149233&amp;z=12&amp;profile=flygbildmedgranser&amp;background=2&amp;boundaries=true","Visa")</f>
        <v>Visa</v>
      </c>
      <c r="H561" s="5" t="s">
        <v>8</v>
      </c>
      <c r="I561" s="8">
        <v>48.016260000000003</v>
      </c>
      <c r="J561" s="9">
        <v>55.269060000000003</v>
      </c>
      <c r="K561" s="9">
        <v>56.837809999999998</v>
      </c>
      <c r="L561" s="14">
        <v>48.927430000000001</v>
      </c>
      <c r="M561" s="9">
        <v>55.725589999999997</v>
      </c>
      <c r="N561" s="9">
        <v>57.343310000000002</v>
      </c>
      <c r="O561" s="14">
        <v>49.046880000000002</v>
      </c>
      <c r="P561" s="9">
        <v>55.75667</v>
      </c>
      <c r="Q561" s="9">
        <v>57.372909999999997</v>
      </c>
      <c r="R561" s="23">
        <v>35.354320000000001</v>
      </c>
      <c r="S561" s="8">
        <v>0.11945</v>
      </c>
      <c r="T561" s="9">
        <v>3.108E-2</v>
      </c>
      <c r="U561" s="24">
        <v>2.9600000000000001E-2</v>
      </c>
    </row>
    <row r="562" spans="1:21" ht="12" customHeight="1" x14ac:dyDescent="0.25">
      <c r="A562" s="5">
        <v>1313</v>
      </c>
      <c r="B562" s="19" t="s">
        <v>272</v>
      </c>
      <c r="C562" s="19" t="s">
        <v>17</v>
      </c>
      <c r="D562" s="5" t="s">
        <v>273</v>
      </c>
      <c r="E562" s="6">
        <v>366659.42946984997</v>
      </c>
      <c r="F562" s="6">
        <v>6548909.3516806997</v>
      </c>
      <c r="G562" s="7" t="str">
        <f>HYPERLINK("https://minkarta.lantmateriet.se/?e=366659,42946985&amp;n=6548909,3516807&amp;z=12&amp;profile=flygbildmedgranser&amp;background=2&amp;boundaries=true","Visa")</f>
        <v>Visa</v>
      </c>
      <c r="H562" s="5" t="s">
        <v>9</v>
      </c>
      <c r="I562" s="8">
        <v>42.161589999999997</v>
      </c>
      <c r="J562" s="9">
        <v>48.354640000000003</v>
      </c>
      <c r="K562" s="9">
        <v>49.923389999999998</v>
      </c>
      <c r="L562" s="14">
        <v>43.070860000000003</v>
      </c>
      <c r="M562" s="9">
        <v>48.811169999999997</v>
      </c>
      <c r="N562" s="9">
        <v>50.428890000000003</v>
      </c>
      <c r="O562" s="14">
        <v>43.215260000000001</v>
      </c>
      <c r="P562" s="9">
        <v>48.84225</v>
      </c>
      <c r="Q562" s="9">
        <v>50.458489999999998</v>
      </c>
      <c r="R562" s="23">
        <v>32.896320000000003</v>
      </c>
      <c r="S562" s="8">
        <v>0.1444</v>
      </c>
      <c r="T562" s="9">
        <v>3.108E-2</v>
      </c>
      <c r="U562" s="24">
        <v>2.9600000000000001E-2</v>
      </c>
    </row>
    <row r="563" spans="1:21" ht="12" customHeight="1" x14ac:dyDescent="0.25">
      <c r="A563" s="5">
        <v>1314</v>
      </c>
      <c r="B563" s="19" t="s">
        <v>272</v>
      </c>
      <c r="C563" s="19" t="s">
        <v>17</v>
      </c>
      <c r="D563" s="5" t="s">
        <v>277</v>
      </c>
      <c r="E563" s="6">
        <v>366694.80911673</v>
      </c>
      <c r="F563" s="6">
        <v>6548930.1223905999</v>
      </c>
      <c r="G563" s="7" t="str">
        <f>HYPERLINK("https://minkarta.lantmateriet.se/?e=366694,80911673&amp;n=6548930,1223906&amp;z=12&amp;profile=flygbildmedgranser&amp;background=2&amp;boundaries=true","Visa")</f>
        <v>Visa</v>
      </c>
      <c r="H563" s="5" t="s">
        <v>8</v>
      </c>
      <c r="I563" s="8">
        <v>48.188139999999997</v>
      </c>
      <c r="J563" s="9">
        <v>55.920009999999998</v>
      </c>
      <c r="K563" s="9">
        <v>57.488759999999999</v>
      </c>
      <c r="L563" s="14">
        <v>49.10257</v>
      </c>
      <c r="M563" s="9">
        <v>56.376539999999999</v>
      </c>
      <c r="N563" s="9">
        <v>57.994259999999997</v>
      </c>
      <c r="O563" s="14">
        <v>49.207160000000002</v>
      </c>
      <c r="P563" s="9">
        <v>56.407620000000001</v>
      </c>
      <c r="Q563" s="9">
        <v>58.023859999999999</v>
      </c>
      <c r="R563" s="23">
        <v>32.149419999999999</v>
      </c>
      <c r="S563" s="8">
        <v>0.10459</v>
      </c>
      <c r="T563" s="9">
        <v>3.108E-2</v>
      </c>
      <c r="U563" s="24">
        <v>2.9600000000000001E-2</v>
      </c>
    </row>
    <row r="564" spans="1:21" ht="12" customHeight="1" x14ac:dyDescent="0.25">
      <c r="A564" s="5">
        <v>1315</v>
      </c>
      <c r="B564" s="19" t="s">
        <v>278</v>
      </c>
      <c r="C564" s="19" t="s">
        <v>12</v>
      </c>
      <c r="D564" s="5" t="s">
        <v>279</v>
      </c>
      <c r="E564" s="6">
        <v>367118.79979933001</v>
      </c>
      <c r="F564" s="6">
        <v>6548754.1193546001</v>
      </c>
      <c r="G564" s="7" t="str">
        <f>HYPERLINK("https://minkarta.lantmateriet.se/?e=367118,79979933&amp;n=6548754,1193546&amp;z=12&amp;profile=flygbildmedgranser&amp;background=2&amp;boundaries=true","Visa")</f>
        <v>Visa</v>
      </c>
      <c r="H564" s="5" t="s">
        <v>8</v>
      </c>
      <c r="I564" s="8">
        <v>36.30959</v>
      </c>
      <c r="J564" s="9">
        <v>36.848959999999998</v>
      </c>
      <c r="K564" s="9">
        <v>39.058410000000002</v>
      </c>
      <c r="L564" s="14">
        <v>37.222360000000002</v>
      </c>
      <c r="M564" s="9">
        <v>37.469200000000001</v>
      </c>
      <c r="N564" s="9">
        <v>39.807850000000002</v>
      </c>
      <c r="O564" s="14">
        <v>37.878709999999998</v>
      </c>
      <c r="P564" s="9">
        <v>39.468240000000002</v>
      </c>
      <c r="Q564" s="9">
        <v>39.468240000000002</v>
      </c>
      <c r="R564" s="23">
        <v>38.804049999999997</v>
      </c>
      <c r="S564" s="8">
        <v>0.65634999999999999</v>
      </c>
      <c r="T564" s="9">
        <v>1.9990399999999999</v>
      </c>
      <c r="U564" s="24">
        <v>-0.33961000000000002</v>
      </c>
    </row>
    <row r="565" spans="1:21" ht="12" customHeight="1" x14ac:dyDescent="0.25">
      <c r="A565" s="5">
        <v>1317</v>
      </c>
      <c r="B565" s="19" t="s">
        <v>278</v>
      </c>
      <c r="C565" s="19" t="s">
        <v>12</v>
      </c>
      <c r="D565" s="5" t="s">
        <v>279</v>
      </c>
      <c r="E565" s="6">
        <v>367113.58370143001</v>
      </c>
      <c r="F565" s="6">
        <v>6548761.4476485001</v>
      </c>
      <c r="G565" s="7" t="str">
        <f>HYPERLINK("https://minkarta.lantmateriet.se/?e=367113,58370143&amp;n=6548761,4476485&amp;z=12&amp;profile=flygbildmedgranser&amp;background=2&amp;boundaries=true","Visa")</f>
        <v>Visa</v>
      </c>
      <c r="H565" s="5" t="s">
        <v>10</v>
      </c>
      <c r="I565" s="8">
        <v>40.064889999999998</v>
      </c>
      <c r="J565" s="9">
        <v>41.977969999999999</v>
      </c>
      <c r="K565" s="9">
        <v>43.546720000000001</v>
      </c>
      <c r="L565" s="14">
        <v>40.968940000000003</v>
      </c>
      <c r="M565" s="9">
        <v>42.4345</v>
      </c>
      <c r="N565" s="9">
        <v>44.052219999999998</v>
      </c>
      <c r="O565" s="14">
        <v>41.129989999999999</v>
      </c>
      <c r="P565" s="9">
        <v>42.465580000000003</v>
      </c>
      <c r="Q565" s="9">
        <v>44.08182</v>
      </c>
      <c r="R565" s="23">
        <v>30.303909999999998</v>
      </c>
      <c r="S565" s="8">
        <v>0.16105</v>
      </c>
      <c r="T565" s="9">
        <v>3.108E-2</v>
      </c>
      <c r="U565" s="24">
        <v>2.9600000000000001E-2</v>
      </c>
    </row>
    <row r="566" spans="1:21" ht="12" customHeight="1" x14ac:dyDescent="0.25">
      <c r="A566" s="5">
        <v>1318</v>
      </c>
      <c r="B566" s="19" t="s">
        <v>278</v>
      </c>
      <c r="C566" s="19" t="s">
        <v>12</v>
      </c>
      <c r="D566" s="5" t="s">
        <v>279</v>
      </c>
      <c r="E566" s="6">
        <v>367110.28585411003</v>
      </c>
      <c r="F566" s="6">
        <v>6548753.5797030004</v>
      </c>
      <c r="G566" s="7" t="str">
        <f>HYPERLINK("https://minkarta.lantmateriet.se/?e=367110,28585411&amp;n=6548753,579703&amp;z=12&amp;profile=flygbildmedgranser&amp;background=2&amp;boundaries=true","Visa")</f>
        <v>Visa</v>
      </c>
      <c r="H566" s="5" t="s">
        <v>11</v>
      </c>
      <c r="I566" s="8">
        <v>38.86553</v>
      </c>
      <c r="J566" s="9">
        <v>41.418579999999999</v>
      </c>
      <c r="K566" s="9">
        <v>42.98733</v>
      </c>
      <c r="L566" s="14">
        <v>39.777650000000001</v>
      </c>
      <c r="M566" s="9">
        <v>41.875109999999999</v>
      </c>
      <c r="N566" s="9">
        <v>43.492829999999998</v>
      </c>
      <c r="O566" s="14">
        <v>39.926319999999997</v>
      </c>
      <c r="P566" s="9">
        <v>41.906190000000002</v>
      </c>
      <c r="Q566" s="9">
        <v>43.52243</v>
      </c>
      <c r="R566" s="23">
        <v>29.09667</v>
      </c>
      <c r="S566" s="8">
        <v>0.14867</v>
      </c>
      <c r="T566" s="9">
        <v>3.108E-2</v>
      </c>
      <c r="U566" s="24">
        <v>2.9600000000000001E-2</v>
      </c>
    </row>
    <row r="567" spans="1:21" ht="12" customHeight="1" x14ac:dyDescent="0.25">
      <c r="A567" s="5">
        <v>1319</v>
      </c>
      <c r="B567" s="19" t="s">
        <v>280</v>
      </c>
      <c r="C567" s="19" t="s">
        <v>12</v>
      </c>
      <c r="D567" s="5" t="s">
        <v>281</v>
      </c>
      <c r="E567" s="6">
        <v>367100.44532817998</v>
      </c>
      <c r="F567" s="6">
        <v>6548740.0108751999</v>
      </c>
      <c r="G567" s="7" t="str">
        <f>HYPERLINK("https://minkarta.lantmateriet.se/?e=367100,44532818&amp;n=6548740,0108752&amp;z=12&amp;profile=flygbildmedgranser&amp;background=2&amp;boundaries=true","Visa")</f>
        <v>Visa</v>
      </c>
      <c r="H567" s="5" t="s">
        <v>8</v>
      </c>
      <c r="I567" s="8">
        <v>36.715760000000003</v>
      </c>
      <c r="J567" s="9">
        <v>40.089500000000001</v>
      </c>
      <c r="K567" s="9">
        <v>42.298949999999998</v>
      </c>
      <c r="L567" s="14">
        <v>37.640320000000003</v>
      </c>
      <c r="M567" s="9">
        <v>40.709739999999996</v>
      </c>
      <c r="N567" s="9">
        <v>43.048380000000002</v>
      </c>
      <c r="O567" s="14">
        <v>38.237450000000003</v>
      </c>
      <c r="P567" s="9">
        <v>43.858890000000002</v>
      </c>
      <c r="Q567" s="9">
        <v>43.858890000000002</v>
      </c>
      <c r="R567" s="23">
        <v>36.975990000000003</v>
      </c>
      <c r="S567" s="8">
        <v>0.59713000000000005</v>
      </c>
      <c r="T567" s="9">
        <v>3.1491500000000001</v>
      </c>
      <c r="U567" s="24">
        <v>0.81050999999999995</v>
      </c>
    </row>
    <row r="568" spans="1:21" ht="12" customHeight="1" x14ac:dyDescent="0.25">
      <c r="A568" s="5">
        <v>1320</v>
      </c>
      <c r="B568" s="19" t="s">
        <v>280</v>
      </c>
      <c r="C568" s="19" t="s">
        <v>12</v>
      </c>
      <c r="D568" s="5" t="s">
        <v>281</v>
      </c>
      <c r="E568" s="6">
        <v>367102.99458354001</v>
      </c>
      <c r="F568" s="6">
        <v>6548747.8683903003</v>
      </c>
      <c r="G568" s="7" t="str">
        <f>HYPERLINK("https://minkarta.lantmateriet.se/?e=367102,99458354&amp;n=6548747,8683903&amp;z=12&amp;profile=flygbildmedgranser&amp;background=2&amp;boundaries=true","Visa")</f>
        <v>Visa</v>
      </c>
      <c r="H568" s="5" t="s">
        <v>9</v>
      </c>
      <c r="I568" s="8">
        <v>37.404049999999998</v>
      </c>
      <c r="J568" s="9">
        <v>39.648060000000001</v>
      </c>
      <c r="K568" s="9">
        <v>41.216810000000002</v>
      </c>
      <c r="L568" s="14">
        <v>38.313589999999998</v>
      </c>
      <c r="M568" s="9">
        <v>40.104590000000002</v>
      </c>
      <c r="N568" s="9">
        <v>41.72231</v>
      </c>
      <c r="O568" s="14">
        <v>38.47898</v>
      </c>
      <c r="P568" s="9">
        <v>40.135669999999998</v>
      </c>
      <c r="Q568" s="9">
        <v>41.751910000000002</v>
      </c>
      <c r="R568" s="23">
        <v>26.724979999999999</v>
      </c>
      <c r="S568" s="8">
        <v>0.16539000000000001</v>
      </c>
      <c r="T568" s="9">
        <v>3.108E-2</v>
      </c>
      <c r="U568" s="24">
        <v>2.9600000000000001E-2</v>
      </c>
    </row>
    <row r="569" spans="1:21" ht="12" customHeight="1" x14ac:dyDescent="0.25">
      <c r="A569" s="5">
        <v>1321</v>
      </c>
      <c r="B569" s="19" t="s">
        <v>280</v>
      </c>
      <c r="C569" s="19" t="s">
        <v>12</v>
      </c>
      <c r="D569" s="5" t="s">
        <v>281</v>
      </c>
      <c r="E569" s="6">
        <v>367094.68712755002</v>
      </c>
      <c r="F569" s="6">
        <v>6548747.8940954003</v>
      </c>
      <c r="G569" s="7" t="str">
        <f>HYPERLINK("https://minkarta.lantmateriet.se/?e=367094,68712755&amp;n=6548747,8940954&amp;z=12&amp;profile=flygbildmedgranser&amp;background=2&amp;boundaries=true","Visa")</f>
        <v>Visa</v>
      </c>
      <c r="H569" s="5" t="s">
        <v>10</v>
      </c>
      <c r="I569" s="8">
        <v>41.08905</v>
      </c>
      <c r="J569" s="9">
        <v>43.57734</v>
      </c>
      <c r="K569" s="9">
        <v>45.146090000000001</v>
      </c>
      <c r="L569" s="14">
        <v>41.996519999999997</v>
      </c>
      <c r="M569" s="9">
        <v>44.03387</v>
      </c>
      <c r="N569" s="9">
        <v>45.697009999999999</v>
      </c>
      <c r="O569" s="14">
        <v>42.151060000000001</v>
      </c>
      <c r="P569" s="9">
        <v>44.064950000000003</v>
      </c>
      <c r="Q569" s="9">
        <v>45.739379999999997</v>
      </c>
      <c r="R569" s="23">
        <v>30.74606</v>
      </c>
      <c r="S569" s="8">
        <v>0.15454000000000001</v>
      </c>
      <c r="T569" s="9">
        <v>3.108E-2</v>
      </c>
      <c r="U569" s="24">
        <v>4.2369999999999998E-2</v>
      </c>
    </row>
    <row r="570" spans="1:21" ht="12" customHeight="1" x14ac:dyDescent="0.25">
      <c r="A570" s="5">
        <v>1322</v>
      </c>
      <c r="B570" s="19" t="s">
        <v>280</v>
      </c>
      <c r="C570" s="19" t="s">
        <v>12</v>
      </c>
      <c r="D570" s="5" t="s">
        <v>281</v>
      </c>
      <c r="E570" s="6">
        <v>367092.13793338003</v>
      </c>
      <c r="F570" s="6">
        <v>6548740.0365931997</v>
      </c>
      <c r="G570" s="7" t="str">
        <f>HYPERLINK("https://minkarta.lantmateriet.se/?e=367092,13793338&amp;n=6548740,0365932&amp;z=12&amp;profile=flygbildmedgranser&amp;background=2&amp;boundaries=true","Visa")</f>
        <v>Visa</v>
      </c>
      <c r="H570" s="5" t="s">
        <v>11</v>
      </c>
      <c r="I570" s="8">
        <v>40.425530000000002</v>
      </c>
      <c r="J570" s="9">
        <v>45.126460000000002</v>
      </c>
      <c r="K570" s="9">
        <v>46.695210000000003</v>
      </c>
      <c r="L570" s="14">
        <v>41.34243</v>
      </c>
      <c r="M570" s="9">
        <v>45.582990000000002</v>
      </c>
      <c r="N570" s="9">
        <v>47.200710000000001</v>
      </c>
      <c r="O570" s="14">
        <v>41.531930000000003</v>
      </c>
      <c r="P570" s="9">
        <v>45.614069999999998</v>
      </c>
      <c r="Q570" s="9">
        <v>47.230319999999999</v>
      </c>
      <c r="R570" s="23">
        <v>34.437570000000001</v>
      </c>
      <c r="S570" s="8">
        <v>0.1895</v>
      </c>
      <c r="T570" s="9">
        <v>3.108E-2</v>
      </c>
      <c r="U570" s="24">
        <v>2.9610000000000001E-2</v>
      </c>
    </row>
    <row r="571" spans="1:21" ht="12" customHeight="1" x14ac:dyDescent="0.25">
      <c r="A571" s="5">
        <v>1323</v>
      </c>
      <c r="B571" s="19" t="s">
        <v>282</v>
      </c>
      <c r="C571" s="19" t="s">
        <v>12</v>
      </c>
      <c r="D571" s="5" t="s">
        <v>283</v>
      </c>
      <c r="E571" s="6">
        <v>367078.36734673003</v>
      </c>
      <c r="F571" s="6">
        <v>6548725.2338886</v>
      </c>
      <c r="G571" s="7" t="str">
        <f>HYPERLINK("https://minkarta.lantmateriet.se/?e=367078,36734673&amp;n=6548725,2338886&amp;z=12&amp;profile=flygbildmedgranser&amp;background=2&amp;boundaries=true","Visa")</f>
        <v>Visa</v>
      </c>
      <c r="H571" s="5" t="s">
        <v>8</v>
      </c>
      <c r="I571" s="8">
        <v>37.765070000000001</v>
      </c>
      <c r="J571" s="9">
        <v>43.590510000000002</v>
      </c>
      <c r="K571" s="9">
        <v>45.799959999999999</v>
      </c>
      <c r="L571" s="14">
        <v>38.689619999999998</v>
      </c>
      <c r="M571" s="9">
        <v>44.210749999999997</v>
      </c>
      <c r="N571" s="9">
        <v>46.549390000000002</v>
      </c>
      <c r="O571" s="14">
        <v>39.412550000000003</v>
      </c>
      <c r="P571" s="9">
        <v>43.385350000000003</v>
      </c>
      <c r="Q571" s="9">
        <v>44.718539999999997</v>
      </c>
      <c r="R571" s="23">
        <v>37.381860000000003</v>
      </c>
      <c r="S571" s="8">
        <v>0.72292999999999996</v>
      </c>
      <c r="T571" s="9">
        <v>-0.82540000000000002</v>
      </c>
      <c r="U571" s="24">
        <v>-1.8308500000000001</v>
      </c>
    </row>
    <row r="572" spans="1:21" ht="12" customHeight="1" x14ac:dyDescent="0.25">
      <c r="A572" s="5">
        <v>1324</v>
      </c>
      <c r="B572" s="19" t="s">
        <v>282</v>
      </c>
      <c r="C572" s="19" t="s">
        <v>12</v>
      </c>
      <c r="D572" s="5" t="s">
        <v>283</v>
      </c>
      <c r="E572" s="6">
        <v>367081.81511367002</v>
      </c>
      <c r="F572" s="6">
        <v>6548733.2323487997</v>
      </c>
      <c r="G572" s="7" t="str">
        <f>HYPERLINK("https://minkarta.lantmateriet.se/?e=367081,81511367&amp;n=6548733,2323488&amp;z=12&amp;profile=flygbildmedgranser&amp;background=2&amp;boundaries=true","Visa")</f>
        <v>Visa</v>
      </c>
      <c r="H572" s="5" t="s">
        <v>9</v>
      </c>
      <c r="I572" s="8">
        <v>38.129620000000003</v>
      </c>
      <c r="J572" s="9">
        <v>40.833410000000001</v>
      </c>
      <c r="K572" s="9">
        <v>42.402160000000002</v>
      </c>
      <c r="L572" s="14">
        <v>39.037419999999997</v>
      </c>
      <c r="M572" s="9">
        <v>41.289940000000001</v>
      </c>
      <c r="N572" s="9">
        <v>42.90766</v>
      </c>
      <c r="O572" s="14">
        <v>39.233800000000002</v>
      </c>
      <c r="P572" s="9">
        <v>41.321019999999997</v>
      </c>
      <c r="Q572" s="9">
        <v>42.937260000000002</v>
      </c>
      <c r="R572" s="23">
        <v>31.110240000000001</v>
      </c>
      <c r="S572" s="8">
        <v>0.19638</v>
      </c>
      <c r="T572" s="9">
        <v>3.108E-2</v>
      </c>
      <c r="U572" s="24">
        <v>2.9600000000000001E-2</v>
      </c>
    </row>
    <row r="573" spans="1:21" ht="12" customHeight="1" x14ac:dyDescent="0.25">
      <c r="A573" s="5">
        <v>1325</v>
      </c>
      <c r="B573" s="19" t="s">
        <v>282</v>
      </c>
      <c r="C573" s="19" t="s">
        <v>12</v>
      </c>
      <c r="D573" s="5" t="s">
        <v>283</v>
      </c>
      <c r="E573" s="6">
        <v>367073.13665419002</v>
      </c>
      <c r="F573" s="6">
        <v>6548732.4926145999</v>
      </c>
      <c r="G573" s="7" t="str">
        <f>HYPERLINK("https://minkarta.lantmateriet.se/?e=367073,13665419&amp;n=6548732,4926146&amp;z=12&amp;profile=flygbildmedgranser&amp;background=2&amp;boundaries=true","Visa")</f>
        <v>Visa</v>
      </c>
      <c r="H573" s="5" t="s">
        <v>10</v>
      </c>
      <c r="I573" s="8">
        <v>41.659739999999999</v>
      </c>
      <c r="J573" s="9">
        <v>43.395470000000003</v>
      </c>
      <c r="K573" s="9">
        <v>45.60492</v>
      </c>
      <c r="L573" s="14">
        <v>42.561799999999998</v>
      </c>
      <c r="M573" s="9">
        <v>44.015709999999999</v>
      </c>
      <c r="N573" s="9">
        <v>46.35436</v>
      </c>
      <c r="O573" s="14">
        <v>42.705039999999997</v>
      </c>
      <c r="P573" s="9">
        <v>44.056840000000001</v>
      </c>
      <c r="Q573" s="9">
        <v>46.396729999999998</v>
      </c>
      <c r="R573" s="23">
        <v>31.795259999999999</v>
      </c>
      <c r="S573" s="8">
        <v>0.14324000000000001</v>
      </c>
      <c r="T573" s="9">
        <v>4.113E-2</v>
      </c>
      <c r="U573" s="24">
        <v>4.2369999999999998E-2</v>
      </c>
    </row>
    <row r="574" spans="1:21" ht="12" customHeight="1" x14ac:dyDescent="0.25">
      <c r="A574" s="5">
        <v>1326</v>
      </c>
      <c r="B574" s="19" t="s">
        <v>282</v>
      </c>
      <c r="C574" s="19" t="s">
        <v>12</v>
      </c>
      <c r="D574" s="5" t="s">
        <v>283</v>
      </c>
      <c r="E574" s="6">
        <v>367069.68888764997</v>
      </c>
      <c r="F574" s="6">
        <v>6548724.4941562004</v>
      </c>
      <c r="G574" s="7" t="str">
        <f>HYPERLINK("https://minkarta.lantmateriet.se/?e=367069,68888765&amp;n=6548724,4941562&amp;z=12&amp;profile=flygbildmedgranser&amp;background=2&amp;boundaries=true","Visa")</f>
        <v>Visa</v>
      </c>
      <c r="H574" s="5" t="s">
        <v>11</v>
      </c>
      <c r="I574" s="8">
        <v>41.00412</v>
      </c>
      <c r="J574" s="9">
        <v>42.410829999999997</v>
      </c>
      <c r="K574" s="9">
        <v>43.979579999999999</v>
      </c>
      <c r="L574" s="14">
        <v>41.926960000000001</v>
      </c>
      <c r="M574" s="9">
        <v>42.867359999999998</v>
      </c>
      <c r="N574" s="9">
        <v>44.485080000000004</v>
      </c>
      <c r="O574" s="14">
        <v>42.201590000000003</v>
      </c>
      <c r="P574" s="9">
        <v>42.898440000000001</v>
      </c>
      <c r="Q574" s="9">
        <v>44.514679999999998</v>
      </c>
      <c r="R574" s="23">
        <v>36.536839999999998</v>
      </c>
      <c r="S574" s="8">
        <v>0.27462999999999999</v>
      </c>
      <c r="T574" s="9">
        <v>3.108E-2</v>
      </c>
      <c r="U574" s="24">
        <v>2.9600000000000001E-2</v>
      </c>
    </row>
    <row r="575" spans="1:21" ht="12" customHeight="1" x14ac:dyDescent="0.25">
      <c r="A575" s="5">
        <v>1327</v>
      </c>
      <c r="B575" s="19" t="s">
        <v>284</v>
      </c>
      <c r="C575" s="19" t="s">
        <v>12</v>
      </c>
      <c r="D575" s="5" t="s">
        <v>285</v>
      </c>
      <c r="E575" s="6">
        <v>367052.45333832997</v>
      </c>
      <c r="F575" s="6">
        <v>6548707.6448825998</v>
      </c>
      <c r="G575" s="7" t="str">
        <f>HYPERLINK("https://minkarta.lantmateriet.se/?e=367052,45333833&amp;n=6548707,6448826&amp;z=12&amp;profile=flygbildmedgranser&amp;background=2&amp;boundaries=true","Visa")</f>
        <v>Visa</v>
      </c>
      <c r="H575" s="5" t="s">
        <v>8</v>
      </c>
      <c r="I575" s="8">
        <v>38.004130000000004</v>
      </c>
      <c r="J575" s="9">
        <v>40.02317</v>
      </c>
      <c r="K575" s="9">
        <v>42.136499999999998</v>
      </c>
      <c r="L575" s="14">
        <v>38.917740000000002</v>
      </c>
      <c r="M575" s="9">
        <v>40.547289999999997</v>
      </c>
      <c r="N575" s="9">
        <v>43.19285</v>
      </c>
      <c r="O575" s="14">
        <v>39.740220000000001</v>
      </c>
      <c r="P575" s="9">
        <v>45.932169999999999</v>
      </c>
      <c r="Q575" s="9">
        <v>45.932169999999999</v>
      </c>
      <c r="R575" s="23">
        <v>40.380859999999998</v>
      </c>
      <c r="S575" s="8">
        <v>0.82247999999999999</v>
      </c>
      <c r="T575" s="9">
        <v>5.3848799999999999</v>
      </c>
      <c r="U575" s="24">
        <v>2.7393200000000002</v>
      </c>
    </row>
    <row r="576" spans="1:21" ht="12" customHeight="1" x14ac:dyDescent="0.25">
      <c r="A576" s="5">
        <v>1328</v>
      </c>
      <c r="B576" s="19" t="s">
        <v>284</v>
      </c>
      <c r="C576" s="19" t="s">
        <v>12</v>
      </c>
      <c r="D576" s="5" t="s">
        <v>285</v>
      </c>
      <c r="E576" s="6">
        <v>367060.36883731</v>
      </c>
      <c r="F576" s="6">
        <v>6548711.8973818002</v>
      </c>
      <c r="G576" s="7" t="str">
        <f>HYPERLINK("https://minkarta.lantmateriet.se/?e=367060,36883731&amp;n=6548711,8973818&amp;z=12&amp;profile=flygbildmedgranser&amp;background=2&amp;boundaries=true","Visa")</f>
        <v>Visa</v>
      </c>
      <c r="H576" s="5" t="s">
        <v>8</v>
      </c>
      <c r="I576" s="8">
        <v>38.320250000000001</v>
      </c>
      <c r="J576" s="9">
        <v>42.80838</v>
      </c>
      <c r="K576" s="9">
        <v>45.017829999999996</v>
      </c>
      <c r="L576" s="14">
        <v>39.232610000000001</v>
      </c>
      <c r="M576" s="9">
        <v>43.428620000000002</v>
      </c>
      <c r="N576" s="9">
        <v>45.767270000000003</v>
      </c>
      <c r="O576" s="14">
        <v>39.99277</v>
      </c>
      <c r="P576" s="9">
        <v>41.936540000000001</v>
      </c>
      <c r="Q576" s="9">
        <v>44.276429999999998</v>
      </c>
      <c r="R576" s="23">
        <v>39.846899999999998</v>
      </c>
      <c r="S576" s="8">
        <v>0.76015999999999995</v>
      </c>
      <c r="T576" s="9">
        <v>-1.4920800000000001</v>
      </c>
      <c r="U576" s="24">
        <v>-1.4908399999999999</v>
      </c>
    </row>
    <row r="577" spans="1:21" ht="12" customHeight="1" x14ac:dyDescent="0.25">
      <c r="A577" s="5">
        <v>1329</v>
      </c>
      <c r="B577" s="19" t="s">
        <v>284</v>
      </c>
      <c r="C577" s="19" t="s">
        <v>12</v>
      </c>
      <c r="D577" s="5" t="s">
        <v>285</v>
      </c>
      <c r="E577" s="6">
        <v>367061.05162047001</v>
      </c>
      <c r="F577" s="6">
        <v>6548717.6968393</v>
      </c>
      <c r="G577" s="7" t="str">
        <f>HYPERLINK("https://minkarta.lantmateriet.se/?e=367061,05162047&amp;n=6548717,6968393&amp;z=12&amp;profile=flygbildmedgranser&amp;background=2&amp;boundaries=true","Visa")</f>
        <v>Visa</v>
      </c>
      <c r="H577" s="5" t="s">
        <v>9</v>
      </c>
      <c r="I577" s="8">
        <v>38.676670000000001</v>
      </c>
      <c r="J577" s="9">
        <v>39.664369999999998</v>
      </c>
      <c r="K577" s="9">
        <v>41.23312</v>
      </c>
      <c r="L577" s="14">
        <v>39.582509999999999</v>
      </c>
      <c r="M577" s="9">
        <v>40.120899999999999</v>
      </c>
      <c r="N577" s="9">
        <v>41.738619999999997</v>
      </c>
      <c r="O577" s="14">
        <v>39.798780000000001</v>
      </c>
      <c r="P577" s="9">
        <v>40.151980000000002</v>
      </c>
      <c r="Q577" s="9">
        <v>41.768219999999999</v>
      </c>
      <c r="R577" s="23">
        <v>30.628799999999998</v>
      </c>
      <c r="S577" s="8">
        <v>0.21626999999999999</v>
      </c>
      <c r="T577" s="9">
        <v>3.108E-2</v>
      </c>
      <c r="U577" s="24">
        <v>2.9600000000000001E-2</v>
      </c>
    </row>
    <row r="578" spans="1:21" ht="12" customHeight="1" x14ac:dyDescent="0.25">
      <c r="A578" s="5">
        <v>1330</v>
      </c>
      <c r="B578" s="19" t="s">
        <v>284</v>
      </c>
      <c r="C578" s="19" t="s">
        <v>12</v>
      </c>
      <c r="D578" s="5" t="s">
        <v>285</v>
      </c>
      <c r="E578" s="6">
        <v>367055.32966582</v>
      </c>
      <c r="F578" s="6">
        <v>6548718.893623</v>
      </c>
      <c r="G578" s="7" t="str">
        <f>HYPERLINK("https://minkarta.lantmateriet.se/?e=367055,32966582&amp;n=6548718,893623&amp;z=12&amp;profile=flygbildmedgranser&amp;background=2&amp;boundaries=true","Visa")</f>
        <v>Visa</v>
      </c>
      <c r="H578" s="5" t="s">
        <v>10</v>
      </c>
      <c r="I578" s="8">
        <v>39.83943</v>
      </c>
      <c r="J578" s="9">
        <v>46.088859999999997</v>
      </c>
      <c r="K578" s="9">
        <v>47.657600000000002</v>
      </c>
      <c r="L578" s="14">
        <v>40.747169999999997</v>
      </c>
      <c r="M578" s="9">
        <v>46.545380000000002</v>
      </c>
      <c r="N578" s="9">
        <v>48.163110000000003</v>
      </c>
      <c r="O578" s="14">
        <v>40.890079999999998</v>
      </c>
      <c r="P578" s="9">
        <v>46.57647</v>
      </c>
      <c r="Q578" s="9">
        <v>48.192709999999998</v>
      </c>
      <c r="R578" s="23">
        <v>30.313079999999999</v>
      </c>
      <c r="S578" s="8">
        <v>0.14291000000000001</v>
      </c>
      <c r="T578" s="9">
        <v>3.109E-2</v>
      </c>
      <c r="U578" s="24">
        <v>2.9600000000000001E-2</v>
      </c>
    </row>
    <row r="579" spans="1:21" ht="12" customHeight="1" x14ac:dyDescent="0.25">
      <c r="A579" s="5">
        <v>1331</v>
      </c>
      <c r="B579" s="19" t="s">
        <v>284</v>
      </c>
      <c r="C579" s="19" t="s">
        <v>12</v>
      </c>
      <c r="D579" s="5" t="s">
        <v>285</v>
      </c>
      <c r="E579" s="6">
        <v>367047.79316475999</v>
      </c>
      <c r="F579" s="6">
        <v>6548714.1146221999</v>
      </c>
      <c r="G579" s="7" t="str">
        <f>HYPERLINK("https://minkarta.lantmateriet.se/?e=367047,79316476&amp;n=6548714,1146222&amp;z=12&amp;profile=flygbildmedgranser&amp;background=2&amp;boundaries=true","Visa")</f>
        <v>Visa</v>
      </c>
      <c r="H579" s="5" t="s">
        <v>10</v>
      </c>
      <c r="I579" s="8">
        <v>40.415909999999997</v>
      </c>
      <c r="J579" s="9">
        <v>44.24286</v>
      </c>
      <c r="K579" s="9">
        <v>46.452309999999997</v>
      </c>
      <c r="L579" s="14">
        <v>41.319580000000002</v>
      </c>
      <c r="M579" s="9">
        <v>44.863100000000003</v>
      </c>
      <c r="N579" s="9">
        <v>47.201740000000001</v>
      </c>
      <c r="O579" s="14">
        <v>41.519640000000003</v>
      </c>
      <c r="P579" s="9">
        <v>44.904229999999998</v>
      </c>
      <c r="Q579" s="9">
        <v>47.244120000000002</v>
      </c>
      <c r="R579" s="23">
        <v>32.436869999999999</v>
      </c>
      <c r="S579" s="8">
        <v>0.20005999999999999</v>
      </c>
      <c r="T579" s="9">
        <v>4.113E-2</v>
      </c>
      <c r="U579" s="24">
        <v>4.2380000000000001E-2</v>
      </c>
    </row>
    <row r="580" spans="1:21" ht="12" customHeight="1" x14ac:dyDescent="0.25">
      <c r="A580" s="5">
        <v>1332</v>
      </c>
      <c r="B580" s="19" t="s">
        <v>284</v>
      </c>
      <c r="C580" s="19" t="s">
        <v>12</v>
      </c>
      <c r="D580" s="5" t="s">
        <v>285</v>
      </c>
      <c r="E580" s="6">
        <v>367046.07488059998</v>
      </c>
      <c r="F580" s="6">
        <v>6548707.9696660005</v>
      </c>
      <c r="G580" s="7" t="str">
        <f>HYPERLINK("https://minkarta.lantmateriet.se/?e=367046,0748806&amp;n=6548707,969666&amp;z=12&amp;profile=flygbildmedgranser&amp;background=2&amp;boundaries=true","Visa")</f>
        <v>Visa</v>
      </c>
      <c r="H580" s="5" t="s">
        <v>11</v>
      </c>
      <c r="I580" s="8">
        <v>40.70946</v>
      </c>
      <c r="J580" s="9">
        <v>43.583849999999998</v>
      </c>
      <c r="K580" s="9">
        <v>45.1526</v>
      </c>
      <c r="L580" s="14">
        <v>41.613</v>
      </c>
      <c r="M580" s="9">
        <v>44.040370000000003</v>
      </c>
      <c r="N580" s="9">
        <v>45.658099999999997</v>
      </c>
      <c r="O580" s="14">
        <v>41.905949999999997</v>
      </c>
      <c r="P580" s="9">
        <v>44.071460000000002</v>
      </c>
      <c r="Q580" s="9">
        <v>45.6877</v>
      </c>
      <c r="R580" s="23">
        <v>36.266669999999998</v>
      </c>
      <c r="S580" s="8">
        <v>0.29294999999999999</v>
      </c>
      <c r="T580" s="9">
        <v>3.109E-2</v>
      </c>
      <c r="U580" s="24">
        <v>2.9600000000000001E-2</v>
      </c>
    </row>
    <row r="581" spans="1:21" ht="12" customHeight="1" x14ac:dyDescent="0.25">
      <c r="A581" s="5">
        <v>1334</v>
      </c>
      <c r="B581" s="19" t="s">
        <v>286</v>
      </c>
      <c r="C581" s="19" t="s">
        <v>17</v>
      </c>
      <c r="D581" s="5" t="s">
        <v>287</v>
      </c>
      <c r="E581" s="6">
        <v>366954.99192288</v>
      </c>
      <c r="F581" s="6">
        <v>6548658.5411512004</v>
      </c>
      <c r="G581" s="7" t="str">
        <f>HYPERLINK("https://minkarta.lantmateriet.se/?e=366954,99192288&amp;n=6548658,5411512&amp;z=12&amp;profile=flygbildmedgranser&amp;background=2&amp;boundaries=true","Visa")</f>
        <v>Visa</v>
      </c>
      <c r="H581" s="5" t="s">
        <v>13</v>
      </c>
      <c r="I581" s="8">
        <v>43.314869999999999</v>
      </c>
      <c r="J581" s="9">
        <v>46.157710000000002</v>
      </c>
      <c r="K581" s="9">
        <v>47.61168</v>
      </c>
      <c r="L581" s="14">
        <v>44.268839999999997</v>
      </c>
      <c r="M581" s="9">
        <v>46.773710000000001</v>
      </c>
      <c r="N581" s="9">
        <v>50.244370000000004</v>
      </c>
      <c r="O581" s="14">
        <v>44.647390000000001</v>
      </c>
      <c r="P581" s="9">
        <v>47.784140000000001</v>
      </c>
      <c r="Q581" s="9">
        <v>50.638710000000003</v>
      </c>
      <c r="R581" s="23">
        <v>41.14179</v>
      </c>
      <c r="S581" s="8">
        <v>0.37855</v>
      </c>
      <c r="T581" s="9">
        <v>1.0104299999999999</v>
      </c>
      <c r="U581" s="24">
        <v>0.39434000000000002</v>
      </c>
    </row>
    <row r="582" spans="1:21" ht="12" customHeight="1" x14ac:dyDescent="0.25">
      <c r="A582" s="5">
        <v>1335</v>
      </c>
      <c r="B582" s="19" t="s">
        <v>286</v>
      </c>
      <c r="C582" s="19" t="s">
        <v>17</v>
      </c>
      <c r="D582" s="5" t="s">
        <v>287</v>
      </c>
      <c r="E582" s="6">
        <v>366959.81665125</v>
      </c>
      <c r="F582" s="6">
        <v>6548660.3325797003</v>
      </c>
      <c r="G582" s="7" t="str">
        <f>HYPERLINK("https://minkarta.lantmateriet.se/?e=366959,81665125&amp;n=6548660,3325797&amp;z=12&amp;profile=flygbildmedgranser&amp;background=2&amp;boundaries=true","Visa")</f>
        <v>Visa</v>
      </c>
      <c r="H582" s="5" t="s">
        <v>15</v>
      </c>
      <c r="I582" s="8">
        <v>42.01193</v>
      </c>
      <c r="J582" s="9">
        <v>44.998379999999997</v>
      </c>
      <c r="K582" s="9">
        <v>46.452350000000003</v>
      </c>
      <c r="L582" s="14">
        <v>42.944180000000003</v>
      </c>
      <c r="M582" s="9">
        <v>45.497880000000002</v>
      </c>
      <c r="N582" s="9">
        <v>48.968539999999997</v>
      </c>
      <c r="O582" s="14">
        <v>43.50949</v>
      </c>
      <c r="P582" s="9">
        <v>46.487760000000002</v>
      </c>
      <c r="Q582" s="9">
        <v>49.34234</v>
      </c>
      <c r="R582" s="23">
        <v>39.095210000000002</v>
      </c>
      <c r="S582" s="8">
        <v>0.56530999999999998</v>
      </c>
      <c r="T582" s="9">
        <v>0.98987999999999998</v>
      </c>
      <c r="U582" s="24">
        <v>0.37380000000000002</v>
      </c>
    </row>
    <row r="583" spans="1:21" ht="12" customHeight="1" x14ac:dyDescent="0.25">
      <c r="A583" s="5">
        <v>1336</v>
      </c>
      <c r="B583" s="19" t="s">
        <v>286</v>
      </c>
      <c r="C583" s="19" t="s">
        <v>17</v>
      </c>
      <c r="D583" s="5" t="s">
        <v>287</v>
      </c>
      <c r="E583" s="6">
        <v>366964.23144114</v>
      </c>
      <c r="F583" s="6">
        <v>6548660.9452029997</v>
      </c>
      <c r="G583" s="7" t="str">
        <f>HYPERLINK("https://minkarta.lantmateriet.se/?e=366964,23144114&amp;n=6548660,945203&amp;z=12&amp;profile=flygbildmedgranser&amp;background=2&amp;boundaries=true","Visa")</f>
        <v>Visa</v>
      </c>
      <c r="H583" s="5" t="s">
        <v>13</v>
      </c>
      <c r="I583" s="8">
        <v>41.179450000000003</v>
      </c>
      <c r="J583" s="9">
        <v>48.114170000000001</v>
      </c>
      <c r="K583" s="9">
        <v>49.56814</v>
      </c>
      <c r="L583" s="14">
        <v>42.116459999999996</v>
      </c>
      <c r="M583" s="9">
        <v>48.613669999999999</v>
      </c>
      <c r="N583" s="9">
        <v>52.084330000000001</v>
      </c>
      <c r="O583" s="14">
        <v>42.595619999999997</v>
      </c>
      <c r="P583" s="9">
        <v>49.598489999999998</v>
      </c>
      <c r="Q583" s="9">
        <v>52.453060000000001</v>
      </c>
      <c r="R583" s="23">
        <v>41.799390000000002</v>
      </c>
      <c r="S583" s="8">
        <v>0.47915999999999997</v>
      </c>
      <c r="T583" s="9">
        <v>0.98482000000000003</v>
      </c>
      <c r="U583" s="24">
        <v>0.36873</v>
      </c>
    </row>
    <row r="584" spans="1:21" ht="12" customHeight="1" x14ac:dyDescent="0.25">
      <c r="A584" s="5">
        <v>1337</v>
      </c>
      <c r="B584" s="19" t="s">
        <v>286</v>
      </c>
      <c r="C584" s="19" t="s">
        <v>17</v>
      </c>
      <c r="D584" s="5" t="s">
        <v>287</v>
      </c>
      <c r="E584" s="6">
        <v>366957.19781009998</v>
      </c>
      <c r="F584" s="6">
        <v>6548665.5904385997</v>
      </c>
      <c r="G584" s="7" t="str">
        <f>HYPERLINK("https://minkarta.lantmateriet.se/?e=366957,1978101&amp;n=6548665,5904386&amp;z=12&amp;profile=flygbildmedgranser&amp;background=2&amp;boundaries=true","Visa")</f>
        <v>Visa</v>
      </c>
      <c r="H584" s="5" t="s">
        <v>14</v>
      </c>
      <c r="I584" s="8">
        <v>39.668439999999997</v>
      </c>
      <c r="J584" s="9">
        <v>40.229810000000001</v>
      </c>
      <c r="K584" s="9">
        <v>41.683779999999999</v>
      </c>
      <c r="L584" s="14">
        <v>40.5916</v>
      </c>
      <c r="M584" s="9">
        <v>40.729309999999998</v>
      </c>
      <c r="N584" s="9">
        <v>44.19997</v>
      </c>
      <c r="O584" s="14">
        <v>41.031489999999998</v>
      </c>
      <c r="P584" s="9">
        <v>41.788930000000001</v>
      </c>
      <c r="Q584" s="9">
        <v>44.643509999999999</v>
      </c>
      <c r="R584" s="23">
        <v>41.304079999999999</v>
      </c>
      <c r="S584" s="8">
        <v>0.43989</v>
      </c>
      <c r="T584" s="9">
        <v>1.05962</v>
      </c>
      <c r="U584" s="24">
        <v>0.44353999999999999</v>
      </c>
    </row>
    <row r="585" spans="1:21" ht="12" customHeight="1" x14ac:dyDescent="0.25">
      <c r="A585" s="5">
        <v>1338</v>
      </c>
      <c r="B585" s="19" t="s">
        <v>286</v>
      </c>
      <c r="C585" s="19" t="s">
        <v>17</v>
      </c>
      <c r="D585" s="5" t="s">
        <v>287</v>
      </c>
      <c r="E585" s="6">
        <v>366948.72158025001</v>
      </c>
      <c r="F585" s="6">
        <v>6548666.1478559999</v>
      </c>
      <c r="G585" s="7" t="str">
        <f>HYPERLINK("https://minkarta.lantmateriet.se/?e=366948,72158025&amp;n=6548666,147856&amp;z=12&amp;profile=flygbildmedgranser&amp;background=2&amp;boundaries=true","Visa")</f>
        <v>Visa</v>
      </c>
      <c r="H585" s="5" t="s">
        <v>16</v>
      </c>
      <c r="I585" s="8">
        <v>40.508569999999999</v>
      </c>
      <c r="J585" s="9">
        <v>43.309519999999999</v>
      </c>
      <c r="K585" s="9">
        <v>45.10181</v>
      </c>
      <c r="L585" s="14">
        <v>41.436880000000002</v>
      </c>
      <c r="M585" s="9">
        <v>43.811889999999998</v>
      </c>
      <c r="N585" s="9">
        <v>47.282550000000001</v>
      </c>
      <c r="O585" s="14">
        <v>42.809840000000001</v>
      </c>
      <c r="P585" s="9">
        <v>46.034889999999997</v>
      </c>
      <c r="Q585" s="9">
        <v>48.322719999999997</v>
      </c>
      <c r="R585" s="23">
        <v>44.753340000000001</v>
      </c>
      <c r="S585" s="8">
        <v>1.37296</v>
      </c>
      <c r="T585" s="9">
        <v>2.2229999999999999</v>
      </c>
      <c r="U585" s="24">
        <v>1.04017</v>
      </c>
    </row>
    <row r="586" spans="1:21" ht="12" customHeight="1" x14ac:dyDescent="0.25">
      <c r="A586" s="5">
        <v>1339</v>
      </c>
      <c r="B586" s="19" t="s">
        <v>286</v>
      </c>
      <c r="C586" s="19" t="s">
        <v>17</v>
      </c>
      <c r="D586" s="5" t="s">
        <v>287</v>
      </c>
      <c r="E586" s="6">
        <v>366948.19158132997</v>
      </c>
      <c r="F586" s="6">
        <v>6548660.6648591002</v>
      </c>
      <c r="G586" s="7" t="str">
        <f>HYPERLINK("https://minkarta.lantmateriet.se/?e=366948,19158133&amp;n=6548660,6648591&amp;z=12&amp;profile=flygbildmedgranser&amp;background=2&amp;boundaries=true","Visa")</f>
        <v>Visa</v>
      </c>
      <c r="H586" s="5" t="s">
        <v>16</v>
      </c>
      <c r="I586" s="8">
        <v>40.431269999999998</v>
      </c>
      <c r="J586" s="9">
        <v>43.197670000000002</v>
      </c>
      <c r="K586" s="9">
        <v>44.65164</v>
      </c>
      <c r="L586" s="14">
        <v>41.352780000000003</v>
      </c>
      <c r="M586" s="9">
        <v>43.69717</v>
      </c>
      <c r="N586" s="9">
        <v>47.167830000000002</v>
      </c>
      <c r="O586" s="14">
        <v>42.457050000000002</v>
      </c>
      <c r="P586" s="9">
        <v>45.40269</v>
      </c>
      <c r="Q586" s="9">
        <v>47.536560000000001</v>
      </c>
      <c r="R586" s="23">
        <v>43.256970000000003</v>
      </c>
      <c r="S586" s="8">
        <v>1.1042700000000001</v>
      </c>
      <c r="T586" s="9">
        <v>1.7055199999999999</v>
      </c>
      <c r="U586" s="24">
        <v>0.36873</v>
      </c>
    </row>
    <row r="587" spans="1:21" ht="12" customHeight="1" x14ac:dyDescent="0.25">
      <c r="A587" s="5">
        <v>1340</v>
      </c>
      <c r="B587" s="19" t="s">
        <v>288</v>
      </c>
      <c r="C587" s="19" t="s">
        <v>17</v>
      </c>
      <c r="D587" s="5" t="s">
        <v>289</v>
      </c>
      <c r="E587" s="6">
        <v>366951.36391486001</v>
      </c>
      <c r="F587" s="6">
        <v>6548648.3906287001</v>
      </c>
      <c r="G587" s="7" t="str">
        <f>HYPERLINK("https://minkarta.lantmateriet.se/?e=366951,36391486&amp;n=6548648,3906287&amp;z=12&amp;profile=flygbildmedgranser&amp;background=2&amp;boundaries=true","Visa")</f>
        <v>Visa</v>
      </c>
      <c r="H587" s="5" t="s">
        <v>13</v>
      </c>
      <c r="I587" s="8">
        <v>44.833159999999999</v>
      </c>
      <c r="J587" s="9">
        <v>48.002719999999997</v>
      </c>
      <c r="K587" s="9">
        <v>49.456690000000002</v>
      </c>
      <c r="L587" s="14">
        <v>45.764519999999997</v>
      </c>
      <c r="M587" s="9">
        <v>48.502220000000001</v>
      </c>
      <c r="N587" s="9">
        <v>51.972880000000004</v>
      </c>
      <c r="O587" s="14">
        <v>46.126919999999998</v>
      </c>
      <c r="P587" s="9">
        <v>49.576560000000001</v>
      </c>
      <c r="Q587" s="9">
        <v>52.431139999999999</v>
      </c>
      <c r="R587" s="23">
        <v>39.144649999999999</v>
      </c>
      <c r="S587" s="8">
        <v>0.3624</v>
      </c>
      <c r="T587" s="9">
        <v>1.0743400000000001</v>
      </c>
      <c r="U587" s="24">
        <v>0.45826</v>
      </c>
    </row>
    <row r="588" spans="1:21" ht="12" customHeight="1" x14ac:dyDescent="0.25">
      <c r="A588" s="5">
        <v>1341</v>
      </c>
      <c r="B588" s="19" t="s">
        <v>288</v>
      </c>
      <c r="C588" s="19" t="s">
        <v>17</v>
      </c>
      <c r="D588" s="5" t="s">
        <v>289</v>
      </c>
      <c r="E588" s="6">
        <v>366956.21070289001</v>
      </c>
      <c r="F588" s="6">
        <v>6548650.1895615002</v>
      </c>
      <c r="G588" s="7" t="str">
        <f>HYPERLINK("https://minkarta.lantmateriet.se/?e=366956,21070289&amp;n=6548650,1895615&amp;z=12&amp;profile=flygbildmedgranser&amp;background=2&amp;boundaries=true","Visa")</f>
        <v>Visa</v>
      </c>
      <c r="H588" s="5" t="s">
        <v>15</v>
      </c>
      <c r="I588" s="8">
        <v>43.145339999999997</v>
      </c>
      <c r="J588" s="9">
        <v>46.490279999999998</v>
      </c>
      <c r="K588" s="9">
        <v>47.944249999999997</v>
      </c>
      <c r="L588" s="14">
        <v>44.08493</v>
      </c>
      <c r="M588" s="9">
        <v>46.989780000000003</v>
      </c>
      <c r="N588" s="9">
        <v>50.460439999999998</v>
      </c>
      <c r="O588" s="14">
        <v>44.683529999999998</v>
      </c>
      <c r="P588" s="9">
        <v>47.974739999999997</v>
      </c>
      <c r="Q588" s="9">
        <v>50.829320000000003</v>
      </c>
      <c r="R588" s="23">
        <v>41.21322</v>
      </c>
      <c r="S588" s="8">
        <v>0.59860000000000002</v>
      </c>
      <c r="T588" s="9">
        <v>0.98495999999999995</v>
      </c>
      <c r="U588" s="24">
        <v>0.36887999999999999</v>
      </c>
    </row>
    <row r="589" spans="1:21" ht="12" customHeight="1" x14ac:dyDescent="0.25">
      <c r="A589" s="5">
        <v>1342</v>
      </c>
      <c r="B589" s="19" t="s">
        <v>288</v>
      </c>
      <c r="C589" s="19" t="s">
        <v>17</v>
      </c>
      <c r="D589" s="5" t="s">
        <v>289</v>
      </c>
      <c r="E589" s="6">
        <v>366960.65144048998</v>
      </c>
      <c r="F589" s="6">
        <v>6548650.8437011</v>
      </c>
      <c r="G589" s="7" t="str">
        <f>HYPERLINK("https://minkarta.lantmateriet.se/?e=366960,65144049&amp;n=6548650,8437011&amp;z=12&amp;profile=flygbildmedgranser&amp;background=2&amp;boundaries=true","Visa")</f>
        <v>Visa</v>
      </c>
      <c r="H589" s="5" t="s">
        <v>13</v>
      </c>
      <c r="I589" s="8">
        <v>42.122540000000001</v>
      </c>
      <c r="J589" s="9">
        <v>48.74926</v>
      </c>
      <c r="K589" s="9">
        <v>50.203220000000002</v>
      </c>
      <c r="L589" s="14">
        <v>43.051450000000003</v>
      </c>
      <c r="M589" s="9">
        <v>49.248759999999997</v>
      </c>
      <c r="N589" s="9">
        <v>52.71942</v>
      </c>
      <c r="O589" s="14">
        <v>43.64208</v>
      </c>
      <c r="P589" s="9">
        <v>50.23357</v>
      </c>
      <c r="Q589" s="9">
        <v>53.088149999999999</v>
      </c>
      <c r="R589" s="23">
        <v>40.424970000000002</v>
      </c>
      <c r="S589" s="8">
        <v>0.59062999999999999</v>
      </c>
      <c r="T589" s="9">
        <v>0.98480999999999996</v>
      </c>
      <c r="U589" s="24">
        <v>0.36873</v>
      </c>
    </row>
    <row r="590" spans="1:21" ht="12" customHeight="1" x14ac:dyDescent="0.25">
      <c r="A590" s="5">
        <v>1344</v>
      </c>
      <c r="B590" s="19" t="s">
        <v>288</v>
      </c>
      <c r="C590" s="19" t="s">
        <v>17</v>
      </c>
      <c r="D590" s="5" t="s">
        <v>289</v>
      </c>
      <c r="E590" s="6">
        <v>366945.15810186003</v>
      </c>
      <c r="F590" s="6">
        <v>6548656.0459161</v>
      </c>
      <c r="G590" s="7" t="str">
        <f>HYPERLINK("https://minkarta.lantmateriet.se/?e=366945,15810186&amp;n=6548656,0459161&amp;z=12&amp;profile=flygbildmedgranser&amp;background=2&amp;boundaries=true","Visa")</f>
        <v>Visa</v>
      </c>
      <c r="H590" s="5" t="s">
        <v>16</v>
      </c>
      <c r="I590" s="8">
        <v>40.541829999999997</v>
      </c>
      <c r="J590" s="9">
        <v>43.567279999999997</v>
      </c>
      <c r="K590" s="9">
        <v>45.634500000000003</v>
      </c>
      <c r="L590" s="14">
        <v>41.46942</v>
      </c>
      <c r="M590" s="9">
        <v>44.066780000000001</v>
      </c>
      <c r="N590" s="9">
        <v>47.537439999999997</v>
      </c>
      <c r="O590" s="14">
        <v>42.877040000000001</v>
      </c>
      <c r="P590" s="9">
        <v>46.257989999999999</v>
      </c>
      <c r="Q590" s="9">
        <v>48.53387</v>
      </c>
      <c r="R590" s="23">
        <v>45.03078</v>
      </c>
      <c r="S590" s="8">
        <v>1.4076200000000001</v>
      </c>
      <c r="T590" s="9">
        <v>2.1912099999999999</v>
      </c>
      <c r="U590" s="24">
        <v>0.99643000000000004</v>
      </c>
    </row>
    <row r="591" spans="1:21" ht="12" customHeight="1" x14ac:dyDescent="0.25">
      <c r="A591" s="5">
        <v>1345</v>
      </c>
      <c r="B591" s="19" t="s">
        <v>288</v>
      </c>
      <c r="C591" s="19" t="s">
        <v>17</v>
      </c>
      <c r="D591" s="5" t="s">
        <v>289</v>
      </c>
      <c r="E591" s="6">
        <v>366944.59958354</v>
      </c>
      <c r="F591" s="6">
        <v>6548650.4878652999</v>
      </c>
      <c r="G591" s="7" t="str">
        <f>HYPERLINK("https://minkarta.lantmateriet.se/?e=366944,59958354&amp;n=6548650,4878653&amp;z=12&amp;profile=flygbildmedgranser&amp;background=2&amp;boundaries=true","Visa")</f>
        <v>Visa</v>
      </c>
      <c r="H591" s="5" t="s">
        <v>16</v>
      </c>
      <c r="I591" s="8">
        <v>41.517499999999998</v>
      </c>
      <c r="J591" s="9">
        <v>44.29092</v>
      </c>
      <c r="K591" s="9">
        <v>45.744880000000002</v>
      </c>
      <c r="L591" s="14">
        <v>42.441470000000002</v>
      </c>
      <c r="M591" s="9">
        <v>44.790419999999997</v>
      </c>
      <c r="N591" s="9">
        <v>48.261069999999997</v>
      </c>
      <c r="O591" s="14">
        <v>43.535730000000001</v>
      </c>
      <c r="P591" s="9">
        <v>46.162770000000002</v>
      </c>
      <c r="Q591" s="9">
        <v>48.629809999999999</v>
      </c>
      <c r="R591" s="23">
        <v>43.401940000000003</v>
      </c>
      <c r="S591" s="8">
        <v>1.09426</v>
      </c>
      <c r="T591" s="9">
        <v>1.37235</v>
      </c>
      <c r="U591" s="24">
        <v>0.36874000000000001</v>
      </c>
    </row>
    <row r="592" spans="1:21" ht="12" customHeight="1" x14ac:dyDescent="0.25">
      <c r="A592" s="5">
        <v>1347</v>
      </c>
      <c r="B592" s="19" t="s">
        <v>290</v>
      </c>
      <c r="C592" s="19" t="s">
        <v>17</v>
      </c>
      <c r="D592" s="5" t="s">
        <v>291</v>
      </c>
      <c r="E592" s="6">
        <v>366947.76241763</v>
      </c>
      <c r="F592" s="6">
        <v>6548638.1871363996</v>
      </c>
      <c r="G592" s="7" t="str">
        <f>HYPERLINK("https://minkarta.lantmateriet.se/?e=366947,76241763&amp;n=6548638,1871364&amp;z=12&amp;profile=flygbildmedgranser&amp;background=2&amp;boundaries=true","Visa")</f>
        <v>Visa</v>
      </c>
      <c r="H592" s="5" t="s">
        <v>13</v>
      </c>
      <c r="I592" s="8">
        <v>45.332389999999997</v>
      </c>
      <c r="J592" s="9">
        <v>48.917349999999999</v>
      </c>
      <c r="K592" s="9">
        <v>50.371319999999997</v>
      </c>
      <c r="L592" s="14">
        <v>46.269550000000002</v>
      </c>
      <c r="M592" s="9">
        <v>49.416849999999997</v>
      </c>
      <c r="N592" s="9">
        <v>52.887509999999999</v>
      </c>
      <c r="O592" s="14">
        <v>46.577370000000002</v>
      </c>
      <c r="P592" s="9">
        <v>50.413499999999999</v>
      </c>
      <c r="Q592" s="9">
        <v>53.268070000000002</v>
      </c>
      <c r="R592" s="23">
        <v>39.184089999999998</v>
      </c>
      <c r="S592" s="8">
        <v>0.30781999999999998</v>
      </c>
      <c r="T592" s="9">
        <v>0.99665000000000004</v>
      </c>
      <c r="U592" s="24">
        <v>0.38056000000000001</v>
      </c>
    </row>
    <row r="593" spans="1:21" ht="12" customHeight="1" x14ac:dyDescent="0.25">
      <c r="A593" s="5">
        <v>1348</v>
      </c>
      <c r="B593" s="19" t="s">
        <v>290</v>
      </c>
      <c r="C593" s="19" t="s">
        <v>17</v>
      </c>
      <c r="D593" s="5" t="s">
        <v>291</v>
      </c>
      <c r="E593" s="6">
        <v>366952.59617709002</v>
      </c>
      <c r="F593" s="6">
        <v>6548639.9730706001</v>
      </c>
      <c r="G593" s="7" t="str">
        <f>HYPERLINK("https://minkarta.lantmateriet.se/?e=366952,59617709&amp;n=6548639,9730706&amp;z=12&amp;profile=flygbildmedgranser&amp;background=2&amp;boundaries=true","Visa")</f>
        <v>Visa</v>
      </c>
      <c r="H593" s="5" t="s">
        <v>15</v>
      </c>
      <c r="I593" s="8">
        <v>43.580300000000001</v>
      </c>
      <c r="J593" s="9">
        <v>47.053350000000002</v>
      </c>
      <c r="K593" s="9">
        <v>48.50732</v>
      </c>
      <c r="L593" s="14">
        <v>44.508879999999998</v>
      </c>
      <c r="M593" s="9">
        <v>47.552700000000002</v>
      </c>
      <c r="N593" s="9">
        <v>51.023359999999997</v>
      </c>
      <c r="O593" s="14">
        <v>44.99221</v>
      </c>
      <c r="P593" s="9">
        <v>48.537059999999997</v>
      </c>
      <c r="Q593" s="9">
        <v>51.391640000000002</v>
      </c>
      <c r="R593" s="23">
        <v>39.70722</v>
      </c>
      <c r="S593" s="8">
        <v>0.48332999999999998</v>
      </c>
      <c r="T593" s="9">
        <v>0.98436000000000001</v>
      </c>
      <c r="U593" s="24">
        <v>0.36828</v>
      </c>
    </row>
    <row r="594" spans="1:21" ht="12" customHeight="1" x14ac:dyDescent="0.25">
      <c r="A594" s="5">
        <v>1349</v>
      </c>
      <c r="B594" s="19" t="s">
        <v>290</v>
      </c>
      <c r="C594" s="19" t="s">
        <v>17</v>
      </c>
      <c r="D594" s="5" t="s">
        <v>291</v>
      </c>
      <c r="E594" s="6">
        <v>366957.07889981999</v>
      </c>
      <c r="F594" s="6">
        <v>6548640.6840869999</v>
      </c>
      <c r="G594" s="7" t="str">
        <f>HYPERLINK("https://minkarta.lantmateriet.se/?e=366957,07889982&amp;n=6548640,684087&amp;z=12&amp;profile=flygbildmedgranser&amp;background=2&amp;boundaries=true","Visa")</f>
        <v>Visa</v>
      </c>
      <c r="H594" s="5" t="s">
        <v>13</v>
      </c>
      <c r="I594" s="8">
        <v>42.790889999999997</v>
      </c>
      <c r="J594" s="9">
        <v>49.642159999999997</v>
      </c>
      <c r="K594" s="9">
        <v>51.096130000000002</v>
      </c>
      <c r="L594" s="14">
        <v>43.727539999999998</v>
      </c>
      <c r="M594" s="9">
        <v>50.141660000000002</v>
      </c>
      <c r="N594" s="9">
        <v>53.612319999999997</v>
      </c>
      <c r="O594" s="14">
        <v>44.10324</v>
      </c>
      <c r="P594" s="9">
        <v>51.126480000000001</v>
      </c>
      <c r="Q594" s="9">
        <v>53.981050000000003</v>
      </c>
      <c r="R594" s="23">
        <v>39.957419999999999</v>
      </c>
      <c r="S594" s="8">
        <v>0.37569999999999998</v>
      </c>
      <c r="T594" s="9">
        <v>0.98482000000000003</v>
      </c>
      <c r="U594" s="24">
        <v>0.36873</v>
      </c>
    </row>
    <row r="595" spans="1:21" ht="12" customHeight="1" x14ac:dyDescent="0.25">
      <c r="A595" s="5">
        <v>1351</v>
      </c>
      <c r="B595" s="19" t="s">
        <v>290</v>
      </c>
      <c r="C595" s="19" t="s">
        <v>17</v>
      </c>
      <c r="D595" s="5" t="s">
        <v>291</v>
      </c>
      <c r="E595" s="6">
        <v>366941.56757054001</v>
      </c>
      <c r="F595" s="6">
        <v>6548645.7873286</v>
      </c>
      <c r="G595" s="7" t="str">
        <f>HYPERLINK("https://minkarta.lantmateriet.se/?e=366941,56757054&amp;n=6548645,7873286&amp;z=12&amp;profile=flygbildmedgranser&amp;background=2&amp;boundaries=true","Visa")</f>
        <v>Visa</v>
      </c>
      <c r="H595" s="5" t="s">
        <v>16</v>
      </c>
      <c r="I595" s="8">
        <v>41.083109999999998</v>
      </c>
      <c r="J595" s="9">
        <v>44.191789999999997</v>
      </c>
      <c r="K595" s="9">
        <v>45.64575</v>
      </c>
      <c r="L595" s="14">
        <v>42.033929999999998</v>
      </c>
      <c r="M595" s="9">
        <v>44.691279999999999</v>
      </c>
      <c r="N595" s="9">
        <v>48.161940000000001</v>
      </c>
      <c r="O595" s="14">
        <v>43.311329999999998</v>
      </c>
      <c r="P595" s="9">
        <v>46.800980000000003</v>
      </c>
      <c r="Q595" s="9">
        <v>48.530679999999997</v>
      </c>
      <c r="R595" s="23">
        <v>45.586640000000003</v>
      </c>
      <c r="S595" s="8">
        <v>1.2774000000000001</v>
      </c>
      <c r="T595" s="9">
        <v>2.1097000000000001</v>
      </c>
      <c r="U595" s="24">
        <v>0.36874000000000001</v>
      </c>
    </row>
    <row r="596" spans="1:21" ht="12" customHeight="1" x14ac:dyDescent="0.25">
      <c r="A596" s="5">
        <v>1352</v>
      </c>
      <c r="B596" s="19" t="s">
        <v>290</v>
      </c>
      <c r="C596" s="19" t="s">
        <v>17</v>
      </c>
      <c r="D596" s="5" t="s">
        <v>291</v>
      </c>
      <c r="E596" s="6">
        <v>366940.99058745999</v>
      </c>
      <c r="F596" s="6">
        <v>6548640.3098761998</v>
      </c>
      <c r="G596" s="7" t="str">
        <f>HYPERLINK("https://minkarta.lantmateriet.se/?e=366940,99058746&amp;n=6548640,3098762&amp;z=12&amp;profile=flygbildmedgranser&amp;background=2&amp;boundaries=true","Visa")</f>
        <v>Visa</v>
      </c>
      <c r="H596" s="5" t="s">
        <v>16</v>
      </c>
      <c r="I596" s="8">
        <v>42.241250000000001</v>
      </c>
      <c r="J596" s="9">
        <v>44.564439999999998</v>
      </c>
      <c r="K596" s="9">
        <v>46.0184</v>
      </c>
      <c r="L596" s="14">
        <v>43.16478</v>
      </c>
      <c r="M596" s="9">
        <v>45.063929999999999</v>
      </c>
      <c r="N596" s="9">
        <v>48.534590000000001</v>
      </c>
      <c r="O596" s="14">
        <v>44.142899999999997</v>
      </c>
      <c r="P596" s="9">
        <v>46.048749999999998</v>
      </c>
      <c r="Q596" s="9">
        <v>48.903329999999997</v>
      </c>
      <c r="R596" s="23">
        <v>44.344729999999998</v>
      </c>
      <c r="S596" s="8">
        <v>0.97811999999999999</v>
      </c>
      <c r="T596" s="9">
        <v>0.98482000000000003</v>
      </c>
      <c r="U596" s="24">
        <v>0.36874000000000001</v>
      </c>
    </row>
    <row r="597" spans="1:21" ht="12" customHeight="1" x14ac:dyDescent="0.25">
      <c r="A597" s="5">
        <v>1354</v>
      </c>
      <c r="B597" s="19" t="s">
        <v>292</v>
      </c>
      <c r="C597" s="19" t="s">
        <v>17</v>
      </c>
      <c r="D597" s="5" t="s">
        <v>293</v>
      </c>
      <c r="E597" s="6">
        <v>366937.39006473997</v>
      </c>
      <c r="F597" s="6">
        <v>6548630.1208121004</v>
      </c>
      <c r="G597" s="7" t="str">
        <f>HYPERLINK("https://minkarta.lantmateriet.se/?e=366937,39006474&amp;n=6548630,1208121&amp;z=12&amp;profile=flygbildmedgranser&amp;background=2&amp;boundaries=true","Visa")</f>
        <v>Visa</v>
      </c>
      <c r="H597" s="5" t="s">
        <v>16</v>
      </c>
      <c r="I597" s="8">
        <v>42.974939999999997</v>
      </c>
      <c r="J597" s="9">
        <v>44.643470000000001</v>
      </c>
      <c r="K597" s="9">
        <v>46.097430000000003</v>
      </c>
      <c r="L597" s="14">
        <v>43.903080000000003</v>
      </c>
      <c r="M597" s="9">
        <v>45.142960000000002</v>
      </c>
      <c r="N597" s="9">
        <v>48.613619999999997</v>
      </c>
      <c r="O597" s="14">
        <v>44.90934</v>
      </c>
      <c r="P597" s="9">
        <v>46.127780000000001</v>
      </c>
      <c r="Q597" s="9">
        <v>48.98236</v>
      </c>
      <c r="R597" s="23">
        <v>45.954709999999999</v>
      </c>
      <c r="S597" s="8">
        <v>1.0062599999999999</v>
      </c>
      <c r="T597" s="9">
        <v>0.98482000000000003</v>
      </c>
      <c r="U597" s="24">
        <v>0.36874000000000001</v>
      </c>
    </row>
    <row r="598" spans="1:21" ht="12" customHeight="1" x14ac:dyDescent="0.25">
      <c r="A598" s="5">
        <v>1356</v>
      </c>
      <c r="B598" s="19" t="s">
        <v>292</v>
      </c>
      <c r="C598" s="19" t="s">
        <v>17</v>
      </c>
      <c r="D598" s="5" t="s">
        <v>293</v>
      </c>
      <c r="E598" s="6">
        <v>366944.17343353003</v>
      </c>
      <c r="F598" s="6">
        <v>6548627.9961812999</v>
      </c>
      <c r="G598" s="7" t="str">
        <f>HYPERLINK("https://minkarta.lantmateriet.se/?e=366944,17343353&amp;n=6548627,9961813&amp;z=12&amp;profile=flygbildmedgranser&amp;background=2&amp;boundaries=true","Visa")</f>
        <v>Visa</v>
      </c>
      <c r="H598" s="5" t="s">
        <v>13</v>
      </c>
      <c r="I598" s="8">
        <v>45.752110000000002</v>
      </c>
      <c r="J598" s="9">
        <v>48.922249999999998</v>
      </c>
      <c r="K598" s="9">
        <v>50.376220000000004</v>
      </c>
      <c r="L598" s="14">
        <v>46.689109999999999</v>
      </c>
      <c r="M598" s="9">
        <v>49.421750000000003</v>
      </c>
      <c r="N598" s="9">
        <v>52.892409999999998</v>
      </c>
      <c r="O598" s="14">
        <v>47.012920000000001</v>
      </c>
      <c r="P598" s="9">
        <v>50.557580000000002</v>
      </c>
      <c r="Q598" s="9">
        <v>53.41216</v>
      </c>
      <c r="R598" s="23">
        <v>37.592979999999997</v>
      </c>
      <c r="S598" s="8">
        <v>0.32380999999999999</v>
      </c>
      <c r="T598" s="9">
        <v>1.1358299999999999</v>
      </c>
      <c r="U598" s="24">
        <v>0.51975000000000005</v>
      </c>
    </row>
    <row r="599" spans="1:21" ht="12" customHeight="1" x14ac:dyDescent="0.25">
      <c r="A599" s="5">
        <v>1357</v>
      </c>
      <c r="B599" s="19" t="s">
        <v>292</v>
      </c>
      <c r="C599" s="19" t="s">
        <v>17</v>
      </c>
      <c r="D599" s="5" t="s">
        <v>293</v>
      </c>
      <c r="E599" s="6">
        <v>366949.00676317001</v>
      </c>
      <c r="F599" s="6">
        <v>6548629.8135406999</v>
      </c>
      <c r="G599" s="7" t="str">
        <f>HYPERLINK("https://minkarta.lantmateriet.se/?e=366949,00676317&amp;n=6548629,8135407&amp;z=12&amp;profile=flygbildmedgranser&amp;background=2&amp;boundaries=true","Visa")</f>
        <v>Visa</v>
      </c>
      <c r="H599" s="5" t="s">
        <v>15</v>
      </c>
      <c r="I599" s="8">
        <v>44.234909999999999</v>
      </c>
      <c r="J599" s="9">
        <v>47.169899999999998</v>
      </c>
      <c r="K599" s="9">
        <v>48.623860000000001</v>
      </c>
      <c r="L599" s="14">
        <v>45.16451</v>
      </c>
      <c r="M599" s="9">
        <v>47.66939</v>
      </c>
      <c r="N599" s="9">
        <v>51.140050000000002</v>
      </c>
      <c r="O599" s="14">
        <v>45.666519999999998</v>
      </c>
      <c r="P599" s="9">
        <v>48.694940000000003</v>
      </c>
      <c r="Q599" s="9">
        <v>51.549509999999998</v>
      </c>
      <c r="R599" s="23">
        <v>41.074109999999997</v>
      </c>
      <c r="S599" s="8">
        <v>0.50200999999999996</v>
      </c>
      <c r="T599" s="9">
        <v>1.02555</v>
      </c>
      <c r="U599" s="24">
        <v>0.40945999999999999</v>
      </c>
    </row>
    <row r="600" spans="1:21" ht="12" customHeight="1" x14ac:dyDescent="0.25">
      <c r="A600" s="5">
        <v>1358</v>
      </c>
      <c r="B600" s="19" t="s">
        <v>292</v>
      </c>
      <c r="C600" s="19" t="s">
        <v>17</v>
      </c>
      <c r="D600" s="5" t="s">
        <v>293</v>
      </c>
      <c r="E600" s="6">
        <v>366953.47191547998</v>
      </c>
      <c r="F600" s="6">
        <v>6548630.4916303996</v>
      </c>
      <c r="G600" s="7" t="str">
        <f>HYPERLINK("https://minkarta.lantmateriet.se/?e=366953,47191548&amp;n=6548630,4916304&amp;z=12&amp;profile=flygbildmedgranser&amp;background=2&amp;boundaries=true","Visa")</f>
        <v>Visa</v>
      </c>
      <c r="H600" s="5" t="s">
        <v>13</v>
      </c>
      <c r="I600" s="8">
        <v>43.418990000000001</v>
      </c>
      <c r="J600" s="9">
        <v>51.427790000000002</v>
      </c>
      <c r="K600" s="9">
        <v>52.881749999999997</v>
      </c>
      <c r="L600" s="14">
        <v>44.337510000000002</v>
      </c>
      <c r="M600" s="9">
        <v>51.927280000000003</v>
      </c>
      <c r="N600" s="9">
        <v>55.397939999999998</v>
      </c>
      <c r="O600" s="14">
        <v>44.85962</v>
      </c>
      <c r="P600" s="9">
        <v>52.912100000000002</v>
      </c>
      <c r="Q600" s="9">
        <v>55.766680000000001</v>
      </c>
      <c r="R600" s="23">
        <v>35.195509999999999</v>
      </c>
      <c r="S600" s="8">
        <v>0.52210999999999996</v>
      </c>
      <c r="T600" s="9">
        <v>0.98482000000000003</v>
      </c>
      <c r="U600" s="24">
        <v>0.36874000000000001</v>
      </c>
    </row>
    <row r="601" spans="1:21" ht="12" customHeight="1" x14ac:dyDescent="0.25">
      <c r="A601" s="5">
        <v>1360</v>
      </c>
      <c r="B601" s="19" t="s">
        <v>292</v>
      </c>
      <c r="C601" s="19" t="s">
        <v>17</v>
      </c>
      <c r="D601" s="5" t="s">
        <v>293</v>
      </c>
      <c r="E601" s="6">
        <v>366937.98657101998</v>
      </c>
      <c r="F601" s="6">
        <v>6548635.63583</v>
      </c>
      <c r="G601" s="7" t="str">
        <f>HYPERLINK("https://minkarta.lantmateriet.se/?e=366937,98657102&amp;n=6548635,63583&amp;z=12&amp;profile=flygbildmedgranser&amp;background=2&amp;boundaries=true","Visa")</f>
        <v>Visa</v>
      </c>
      <c r="H601" s="5" t="s">
        <v>16</v>
      </c>
      <c r="I601" s="8">
        <v>42.118389999999998</v>
      </c>
      <c r="J601" s="9">
        <v>44.385930000000002</v>
      </c>
      <c r="K601" s="9">
        <v>45.842179999999999</v>
      </c>
      <c r="L601" s="14">
        <v>43.054989999999997</v>
      </c>
      <c r="M601" s="9">
        <v>44.885420000000003</v>
      </c>
      <c r="N601" s="9">
        <v>48.356079999999999</v>
      </c>
      <c r="O601" s="14">
        <v>44.339799999999997</v>
      </c>
      <c r="P601" s="9">
        <v>46.559559999999998</v>
      </c>
      <c r="Q601" s="9">
        <v>48.682769999999998</v>
      </c>
      <c r="R601" s="23">
        <v>45.829320000000003</v>
      </c>
      <c r="S601" s="8">
        <v>1.28481</v>
      </c>
      <c r="T601" s="9">
        <v>1.67414</v>
      </c>
      <c r="U601" s="24">
        <v>0.32668999999999998</v>
      </c>
    </row>
    <row r="602" spans="1:21" ht="12" customHeight="1" x14ac:dyDescent="0.25">
      <c r="A602" s="5">
        <v>1361</v>
      </c>
      <c r="B602" s="19" t="s">
        <v>294</v>
      </c>
      <c r="C602" s="19" t="s">
        <v>17</v>
      </c>
      <c r="D602" s="5" t="s">
        <v>295</v>
      </c>
      <c r="E602" s="6">
        <v>366940.59843843</v>
      </c>
      <c r="F602" s="6">
        <v>6548617.8381952001</v>
      </c>
      <c r="G602" s="7" t="str">
        <f>HYPERLINK("https://minkarta.lantmateriet.se/?e=366940,59843843&amp;n=6548617,8381952&amp;z=12&amp;profile=flygbildmedgranser&amp;background=2&amp;boundaries=true","Visa")</f>
        <v>Visa</v>
      </c>
      <c r="H602" s="5" t="s">
        <v>13</v>
      </c>
      <c r="I602" s="8">
        <v>46.227080000000001</v>
      </c>
      <c r="J602" s="9">
        <v>49.235819999999997</v>
      </c>
      <c r="K602" s="9">
        <v>50.689779999999999</v>
      </c>
      <c r="L602" s="14">
        <v>47.16019</v>
      </c>
      <c r="M602" s="9">
        <v>49.735309999999998</v>
      </c>
      <c r="N602" s="9">
        <v>53.205970000000001</v>
      </c>
      <c r="O602" s="14">
        <v>47.595100000000002</v>
      </c>
      <c r="P602" s="9">
        <v>50.7729</v>
      </c>
      <c r="Q602" s="9">
        <v>53.627470000000002</v>
      </c>
      <c r="R602" s="23">
        <v>38.570259999999998</v>
      </c>
      <c r="S602" s="8">
        <v>0.43491000000000002</v>
      </c>
      <c r="T602" s="9">
        <v>1.03759</v>
      </c>
      <c r="U602" s="24">
        <v>0.42149999999999999</v>
      </c>
    </row>
    <row r="603" spans="1:21" ht="12" customHeight="1" x14ac:dyDescent="0.25">
      <c r="A603" s="5">
        <v>1362</v>
      </c>
      <c r="B603" s="19" t="s">
        <v>294</v>
      </c>
      <c r="C603" s="19" t="s">
        <v>17</v>
      </c>
      <c r="D603" s="5" t="s">
        <v>295</v>
      </c>
      <c r="E603" s="6">
        <v>366945.44619307999</v>
      </c>
      <c r="F603" s="6">
        <v>6548619.6500650002</v>
      </c>
      <c r="G603" s="7" t="str">
        <f>HYPERLINK("https://minkarta.lantmateriet.se/?e=366945,44619308&amp;n=6548619,650065&amp;z=12&amp;profile=flygbildmedgranser&amp;background=2&amp;boundaries=true","Visa")</f>
        <v>Visa</v>
      </c>
      <c r="H603" s="5" t="s">
        <v>15</v>
      </c>
      <c r="I603" s="8">
        <v>44.842779999999998</v>
      </c>
      <c r="J603" s="9">
        <v>47.20635</v>
      </c>
      <c r="K603" s="9">
        <v>48.660310000000003</v>
      </c>
      <c r="L603" s="14">
        <v>45.763179999999998</v>
      </c>
      <c r="M603" s="9">
        <v>47.690440000000002</v>
      </c>
      <c r="N603" s="9">
        <v>51.161099999999998</v>
      </c>
      <c r="O603" s="14">
        <v>46.225700000000003</v>
      </c>
      <c r="P603" s="9">
        <v>48.506279999999997</v>
      </c>
      <c r="Q603" s="9">
        <v>51.360860000000002</v>
      </c>
      <c r="R603" s="23">
        <v>40.648690000000002</v>
      </c>
      <c r="S603" s="8">
        <v>0.46251999999999999</v>
      </c>
      <c r="T603" s="9">
        <v>0.81584000000000001</v>
      </c>
      <c r="U603" s="24">
        <v>0.19975999999999999</v>
      </c>
    </row>
    <row r="604" spans="1:21" ht="12" customHeight="1" x14ac:dyDescent="0.25">
      <c r="A604" s="5">
        <v>1363</v>
      </c>
      <c r="B604" s="19" t="s">
        <v>294</v>
      </c>
      <c r="C604" s="19" t="s">
        <v>17</v>
      </c>
      <c r="D604" s="5" t="s">
        <v>295</v>
      </c>
      <c r="E604" s="6">
        <v>366949.90693803999</v>
      </c>
      <c r="F604" s="6">
        <v>6548620.2961940998</v>
      </c>
      <c r="G604" s="7" t="str">
        <f>HYPERLINK("https://minkarta.lantmateriet.se/?e=366949,90693804&amp;n=6548620,2961941&amp;z=12&amp;profile=flygbildmedgranser&amp;background=2&amp;boundaries=true","Visa")</f>
        <v>Visa</v>
      </c>
      <c r="H604" s="5" t="s">
        <v>13</v>
      </c>
      <c r="I604" s="8">
        <v>44.0871</v>
      </c>
      <c r="J604" s="9">
        <v>52.614319999999999</v>
      </c>
      <c r="K604" s="9">
        <v>54.068289999999998</v>
      </c>
      <c r="L604" s="14">
        <v>45.019410000000001</v>
      </c>
      <c r="M604" s="9">
        <v>53.113819999999997</v>
      </c>
      <c r="N604" s="9">
        <v>56.584479999999999</v>
      </c>
      <c r="O604" s="14">
        <v>45.923189999999998</v>
      </c>
      <c r="P604" s="9">
        <v>54.098640000000003</v>
      </c>
      <c r="Q604" s="9">
        <v>56.953209999999999</v>
      </c>
      <c r="R604" s="23">
        <v>42.049039999999998</v>
      </c>
      <c r="S604" s="8">
        <v>0.90378000000000003</v>
      </c>
      <c r="T604" s="9">
        <v>0.98482000000000003</v>
      </c>
      <c r="U604" s="24">
        <v>0.36873</v>
      </c>
    </row>
    <row r="605" spans="1:21" ht="12" customHeight="1" x14ac:dyDescent="0.25">
      <c r="A605" s="5">
        <v>1365</v>
      </c>
      <c r="B605" s="19" t="s">
        <v>294</v>
      </c>
      <c r="C605" s="19" t="s">
        <v>17</v>
      </c>
      <c r="D605" s="5" t="s">
        <v>295</v>
      </c>
      <c r="E605" s="6">
        <v>366934.42206312</v>
      </c>
      <c r="F605" s="6">
        <v>6548625.4668075005</v>
      </c>
      <c r="G605" s="7" t="str">
        <f>HYPERLINK("https://minkarta.lantmateriet.se/?e=366934,42206312&amp;n=6548625,4668075&amp;z=12&amp;profile=flygbildmedgranser&amp;background=2&amp;boundaries=true","Visa")</f>
        <v>Visa</v>
      </c>
      <c r="H605" s="5" t="s">
        <v>16</v>
      </c>
      <c r="I605" s="8">
        <v>43.14029</v>
      </c>
      <c r="J605" s="9">
        <v>44.143859999999997</v>
      </c>
      <c r="K605" s="9">
        <v>46.060749999999999</v>
      </c>
      <c r="L605" s="14">
        <v>44.065089999999998</v>
      </c>
      <c r="M605" s="9">
        <v>44.643360000000001</v>
      </c>
      <c r="N605" s="9">
        <v>48.11401</v>
      </c>
      <c r="O605" s="14">
        <v>45.143569999999997</v>
      </c>
      <c r="P605" s="9">
        <v>47.019419999999997</v>
      </c>
      <c r="Q605" s="9">
        <v>48.482750000000003</v>
      </c>
      <c r="R605" s="23">
        <v>44.715130000000002</v>
      </c>
      <c r="S605" s="8">
        <v>1.0784800000000001</v>
      </c>
      <c r="T605" s="9">
        <v>2.3760599999999998</v>
      </c>
      <c r="U605" s="24">
        <v>0.36874000000000001</v>
      </c>
    </row>
    <row r="606" spans="1:21" ht="12" customHeight="1" x14ac:dyDescent="0.25">
      <c r="A606" s="5">
        <v>1366</v>
      </c>
      <c r="B606" s="19" t="s">
        <v>294</v>
      </c>
      <c r="C606" s="19" t="s">
        <v>17</v>
      </c>
      <c r="D606" s="5" t="s">
        <v>295</v>
      </c>
      <c r="E606" s="6">
        <v>366933.83406485</v>
      </c>
      <c r="F606" s="6">
        <v>6548619.9513124004</v>
      </c>
      <c r="G606" s="7" t="str">
        <f>HYPERLINK("https://minkarta.lantmateriet.se/?e=366933,83406485&amp;n=6548619,9513124&amp;z=12&amp;profile=flygbildmedgranser&amp;background=2&amp;boundaries=true","Visa")</f>
        <v>Visa</v>
      </c>
      <c r="H606" s="5" t="s">
        <v>16</v>
      </c>
      <c r="I606" s="8">
        <v>43.515940000000001</v>
      </c>
      <c r="J606" s="9">
        <v>45.962350000000001</v>
      </c>
      <c r="K606" s="9">
        <v>47.416310000000003</v>
      </c>
      <c r="L606" s="14">
        <v>44.414819999999999</v>
      </c>
      <c r="M606" s="9">
        <v>46.461840000000002</v>
      </c>
      <c r="N606" s="9">
        <v>49.932499999999997</v>
      </c>
      <c r="O606" s="14">
        <v>45.3339</v>
      </c>
      <c r="P606" s="9">
        <v>47.731009999999998</v>
      </c>
      <c r="Q606" s="9">
        <v>50.58558</v>
      </c>
      <c r="R606" s="23">
        <v>44.595820000000003</v>
      </c>
      <c r="S606" s="8">
        <v>0.91908000000000001</v>
      </c>
      <c r="T606" s="9">
        <v>1.2691699999999999</v>
      </c>
      <c r="U606" s="24">
        <v>0.65307999999999999</v>
      </c>
    </row>
    <row r="607" spans="1:21" ht="12" customHeight="1" x14ac:dyDescent="0.25">
      <c r="A607" s="5">
        <v>1368</v>
      </c>
      <c r="B607" s="19" t="s">
        <v>296</v>
      </c>
      <c r="C607" s="19" t="s">
        <v>17</v>
      </c>
      <c r="D607" s="5" t="s">
        <v>297</v>
      </c>
      <c r="E607" s="6">
        <v>366930.19506400998</v>
      </c>
      <c r="F607" s="6">
        <v>6548609.6238101004</v>
      </c>
      <c r="G607" s="7" t="str">
        <f>HYPERLINK("https://minkarta.lantmateriet.se/?e=366930,19506401&amp;n=6548609,6238101&amp;z=12&amp;profile=flygbildmedgranser&amp;background=2&amp;boundaries=true","Visa")</f>
        <v>Visa</v>
      </c>
      <c r="H607" s="5" t="s">
        <v>16</v>
      </c>
      <c r="I607" s="8">
        <v>43.24906</v>
      </c>
      <c r="J607" s="9">
        <v>45.022069999999999</v>
      </c>
      <c r="K607" s="9">
        <v>46.476030000000002</v>
      </c>
      <c r="L607" s="14">
        <v>44.175989999999999</v>
      </c>
      <c r="M607" s="9">
        <v>45.521560000000001</v>
      </c>
      <c r="N607" s="9">
        <v>48.992220000000003</v>
      </c>
      <c r="O607" s="14">
        <v>44.922780000000003</v>
      </c>
      <c r="P607" s="9">
        <v>46.510489999999997</v>
      </c>
      <c r="Q607" s="9">
        <v>49.365070000000003</v>
      </c>
      <c r="R607" s="23">
        <v>43.869349999999997</v>
      </c>
      <c r="S607" s="8">
        <v>0.74678999999999995</v>
      </c>
      <c r="T607" s="9">
        <v>0.98892999999999998</v>
      </c>
      <c r="U607" s="24">
        <v>0.37285000000000001</v>
      </c>
    </row>
    <row r="608" spans="1:21" ht="12" customHeight="1" x14ac:dyDescent="0.25">
      <c r="A608" s="5">
        <v>1369</v>
      </c>
      <c r="B608" s="19" t="s">
        <v>296</v>
      </c>
      <c r="C608" s="19" t="s">
        <v>17</v>
      </c>
      <c r="D608" s="5" t="s">
        <v>297</v>
      </c>
      <c r="E608" s="6">
        <v>366932.43369407998</v>
      </c>
      <c r="F608" s="6">
        <v>6548605.3485645996</v>
      </c>
      <c r="G608" s="7" t="str">
        <f>HYPERLINK("https://minkarta.lantmateriet.se/?e=366932,43369408&amp;n=6548605,3485646&amp;z=12&amp;profile=flygbildmedgranser&amp;background=2&amp;boundaries=true","Visa")</f>
        <v>Visa</v>
      </c>
      <c r="H608" s="5" t="s">
        <v>15</v>
      </c>
      <c r="I608" s="8">
        <v>44.144100000000002</v>
      </c>
      <c r="J608" s="9">
        <v>50.895569999999999</v>
      </c>
      <c r="K608" s="9">
        <v>52.349539999999998</v>
      </c>
      <c r="L608" s="14">
        <v>45.06212</v>
      </c>
      <c r="M608" s="9">
        <v>51.395069999999997</v>
      </c>
      <c r="N608" s="9">
        <v>54.865729999999999</v>
      </c>
      <c r="O608" s="14">
        <v>45.73809</v>
      </c>
      <c r="P608" s="9">
        <v>52.379890000000003</v>
      </c>
      <c r="Q608" s="9">
        <v>55.234459999999999</v>
      </c>
      <c r="R608" s="23">
        <v>41.905090000000001</v>
      </c>
      <c r="S608" s="8">
        <v>0.67596999999999996</v>
      </c>
      <c r="T608" s="9">
        <v>0.98482000000000003</v>
      </c>
      <c r="U608" s="24">
        <v>0.36873</v>
      </c>
    </row>
    <row r="609" spans="1:21" ht="12" customHeight="1" x14ac:dyDescent="0.25">
      <c r="A609" s="5">
        <v>1370</v>
      </c>
      <c r="B609" s="19" t="s">
        <v>296</v>
      </c>
      <c r="C609" s="19" t="s">
        <v>17</v>
      </c>
      <c r="D609" s="5" t="s">
        <v>297</v>
      </c>
      <c r="E609" s="6">
        <v>366936.92043755</v>
      </c>
      <c r="F609" s="6">
        <v>6548607.4851927003</v>
      </c>
      <c r="G609" s="7" t="str">
        <f>HYPERLINK("https://minkarta.lantmateriet.se/?e=366936,92043755&amp;n=6548607,4851927&amp;z=12&amp;profile=flygbildmedgranser&amp;background=2&amp;boundaries=true","Visa")</f>
        <v>Visa</v>
      </c>
      <c r="H609" s="5" t="s">
        <v>13</v>
      </c>
      <c r="I609" s="8">
        <v>45.027189999999997</v>
      </c>
      <c r="J609" s="9">
        <v>48.999839999999999</v>
      </c>
      <c r="K609" s="9">
        <v>50.453800000000001</v>
      </c>
      <c r="L609" s="14">
        <v>45.968040000000002</v>
      </c>
      <c r="M609" s="9">
        <v>49.499339999999997</v>
      </c>
      <c r="N609" s="9">
        <v>52.969990000000003</v>
      </c>
      <c r="O609" s="14">
        <v>46.35819</v>
      </c>
      <c r="P609" s="9">
        <v>50.48771</v>
      </c>
      <c r="Q609" s="9">
        <v>53.342280000000002</v>
      </c>
      <c r="R609" s="23">
        <v>39.451949999999997</v>
      </c>
      <c r="S609" s="8">
        <v>0.39015</v>
      </c>
      <c r="T609" s="9">
        <v>0.98836999999999997</v>
      </c>
      <c r="U609" s="24">
        <v>0.37229000000000001</v>
      </c>
    </row>
    <row r="610" spans="1:21" ht="12" customHeight="1" x14ac:dyDescent="0.25">
      <c r="A610" s="5">
        <v>1371</v>
      </c>
      <c r="B610" s="19" t="s">
        <v>296</v>
      </c>
      <c r="C610" s="19" t="s">
        <v>17</v>
      </c>
      <c r="D610" s="5" t="s">
        <v>297</v>
      </c>
      <c r="E610" s="6">
        <v>366941.83769359998</v>
      </c>
      <c r="F610" s="6">
        <v>6548609.4495647997</v>
      </c>
      <c r="G610" s="7" t="str">
        <f>HYPERLINK("https://minkarta.lantmateriet.se/?e=366941,8376936&amp;n=6548609,4495648&amp;z=12&amp;profile=flygbildmedgranser&amp;background=2&amp;boundaries=true","Visa")</f>
        <v>Visa</v>
      </c>
      <c r="H610" s="5" t="s">
        <v>15</v>
      </c>
      <c r="I610" s="8">
        <v>43.979230000000001</v>
      </c>
      <c r="J610" s="9">
        <v>46.960439999999998</v>
      </c>
      <c r="K610" s="9">
        <v>48.414400000000001</v>
      </c>
      <c r="L610" s="14">
        <v>44.901209999999999</v>
      </c>
      <c r="M610" s="9">
        <v>47.45993</v>
      </c>
      <c r="N610" s="9">
        <v>50.930590000000002</v>
      </c>
      <c r="O610" s="14">
        <v>45.537260000000003</v>
      </c>
      <c r="P610" s="9">
        <v>48.444749999999999</v>
      </c>
      <c r="Q610" s="9">
        <v>51.299329999999998</v>
      </c>
      <c r="R610" s="23">
        <v>41.952919999999999</v>
      </c>
      <c r="S610" s="8">
        <v>0.63605</v>
      </c>
      <c r="T610" s="9">
        <v>0.98482000000000003</v>
      </c>
      <c r="U610" s="24">
        <v>0.36874000000000001</v>
      </c>
    </row>
    <row r="611" spans="1:21" ht="12" customHeight="1" x14ac:dyDescent="0.25">
      <c r="A611" s="5">
        <v>1372</v>
      </c>
      <c r="B611" s="19" t="s">
        <v>296</v>
      </c>
      <c r="C611" s="19" t="s">
        <v>17</v>
      </c>
      <c r="D611" s="5" t="s">
        <v>297</v>
      </c>
      <c r="E611" s="6">
        <v>366946.31593729998</v>
      </c>
      <c r="F611" s="6">
        <v>6548610.1011920003</v>
      </c>
      <c r="G611" s="7" t="str">
        <f>HYPERLINK("https://minkarta.lantmateriet.se/?e=366946,3159373&amp;n=6548610,101192&amp;z=12&amp;profile=flygbildmedgranser&amp;background=2&amp;boundaries=true","Visa")</f>
        <v>Visa</v>
      </c>
      <c r="H611" s="5" t="s">
        <v>13</v>
      </c>
      <c r="I611" s="8">
        <v>44.341389999999997</v>
      </c>
      <c r="J611" s="9">
        <v>54.578659999999999</v>
      </c>
      <c r="K611" s="9">
        <v>56.032620000000001</v>
      </c>
      <c r="L611" s="14">
        <v>45.283059999999999</v>
      </c>
      <c r="M611" s="9">
        <v>55.078159999999997</v>
      </c>
      <c r="N611" s="9">
        <v>58.548810000000003</v>
      </c>
      <c r="O611" s="14">
        <v>46.193910000000002</v>
      </c>
      <c r="P611" s="9">
        <v>56.06297</v>
      </c>
      <c r="Q611" s="9">
        <v>58.917549999999999</v>
      </c>
      <c r="R611" s="23">
        <v>43.324759999999998</v>
      </c>
      <c r="S611" s="8">
        <v>0.91085000000000005</v>
      </c>
      <c r="T611" s="9">
        <v>0.98480999999999996</v>
      </c>
      <c r="U611" s="24">
        <v>0.36874000000000001</v>
      </c>
    </row>
    <row r="612" spans="1:21" ht="12" customHeight="1" x14ac:dyDescent="0.25">
      <c r="A612" s="5">
        <v>1374</v>
      </c>
      <c r="B612" s="19" t="s">
        <v>296</v>
      </c>
      <c r="C612" s="19" t="s">
        <v>17</v>
      </c>
      <c r="D612" s="5" t="s">
        <v>297</v>
      </c>
      <c r="E612" s="6">
        <v>366930.85856458999</v>
      </c>
      <c r="F612" s="6">
        <v>6548615.3013116997</v>
      </c>
      <c r="G612" s="7" t="str">
        <f>HYPERLINK("https://minkarta.lantmateriet.se/?e=366930,85856459&amp;n=6548615,3013117&amp;z=12&amp;profile=flygbildmedgranser&amp;background=2&amp;boundaries=true","Visa")</f>
        <v>Visa</v>
      </c>
      <c r="H612" s="5" t="s">
        <v>16</v>
      </c>
      <c r="I612" s="8">
        <v>43.212449999999997</v>
      </c>
      <c r="J612" s="9">
        <v>44.301470000000002</v>
      </c>
      <c r="K612" s="9">
        <v>45.75544</v>
      </c>
      <c r="L612" s="14">
        <v>44.136650000000003</v>
      </c>
      <c r="M612" s="9">
        <v>44.80097</v>
      </c>
      <c r="N612" s="9">
        <v>48.271630000000002</v>
      </c>
      <c r="O612" s="14">
        <v>45.09919</v>
      </c>
      <c r="P612" s="9">
        <v>45.796120000000002</v>
      </c>
      <c r="Q612" s="9">
        <v>48.640360000000001</v>
      </c>
      <c r="R612" s="23">
        <v>44.026299999999999</v>
      </c>
      <c r="S612" s="8">
        <v>0.96253999999999995</v>
      </c>
      <c r="T612" s="9">
        <v>0.99514999999999998</v>
      </c>
      <c r="U612" s="24">
        <v>0.36873</v>
      </c>
    </row>
    <row r="613" spans="1:21" ht="12" customHeight="1" x14ac:dyDescent="0.25">
      <c r="A613" s="5">
        <v>1375</v>
      </c>
      <c r="B613" s="19" t="s">
        <v>298</v>
      </c>
      <c r="C613" s="19" t="s">
        <v>17</v>
      </c>
      <c r="D613" s="5" t="s">
        <v>299</v>
      </c>
      <c r="E613" s="6">
        <v>366922.24213427003</v>
      </c>
      <c r="F613" s="6">
        <v>6548577.4725641003</v>
      </c>
      <c r="G613" s="7" t="str">
        <f>HYPERLINK("https://minkarta.lantmateriet.se/?e=366922,24213427&amp;n=6548577,4725641&amp;z=12&amp;profile=flygbildmedgranser&amp;background=2&amp;boundaries=true","Visa")</f>
        <v>Visa</v>
      </c>
      <c r="H613" s="5" t="s">
        <v>11</v>
      </c>
      <c r="I613" s="8">
        <v>51.206420000000001</v>
      </c>
      <c r="J613" s="9">
        <v>59.801650000000002</v>
      </c>
      <c r="K613" s="9">
        <v>61.255609999999997</v>
      </c>
      <c r="L613" s="14">
        <v>52.17257</v>
      </c>
      <c r="M613" s="9">
        <v>60.301139999999997</v>
      </c>
      <c r="N613" s="9">
        <v>63.771799999999999</v>
      </c>
      <c r="O613" s="14">
        <v>53.615540000000003</v>
      </c>
      <c r="P613" s="9">
        <v>61.442529999999998</v>
      </c>
      <c r="Q613" s="9">
        <v>64.2971</v>
      </c>
      <c r="R613" s="23">
        <v>49.225470000000001</v>
      </c>
      <c r="S613" s="8">
        <v>1.4429700000000001</v>
      </c>
      <c r="T613" s="9">
        <v>1.1413899999999999</v>
      </c>
      <c r="U613" s="24">
        <v>0.52529999999999999</v>
      </c>
    </row>
    <row r="614" spans="1:21" ht="12" customHeight="1" x14ac:dyDescent="0.25">
      <c r="A614" s="5">
        <v>1376</v>
      </c>
      <c r="B614" s="19" t="s">
        <v>298</v>
      </c>
      <c r="C614" s="19" t="s">
        <v>17</v>
      </c>
      <c r="D614" s="5" t="s">
        <v>299</v>
      </c>
      <c r="E614" s="6">
        <v>366928.42144832999</v>
      </c>
      <c r="F614" s="6">
        <v>6548583.3286501002</v>
      </c>
      <c r="G614" s="7" t="str">
        <f>HYPERLINK("https://minkarta.lantmateriet.se/?e=366928,42144833&amp;n=6548583,3286501&amp;z=12&amp;profile=flygbildmedgranser&amp;background=2&amp;boundaries=true","Visa")</f>
        <v>Visa</v>
      </c>
      <c r="H614" s="5" t="s">
        <v>8</v>
      </c>
      <c r="I614" s="8">
        <v>47.714750000000002</v>
      </c>
      <c r="J614" s="9">
        <v>59.408459999999998</v>
      </c>
      <c r="K614" s="9">
        <v>60.86242</v>
      </c>
      <c r="L614" s="14">
        <v>48.711590000000001</v>
      </c>
      <c r="M614" s="9">
        <v>59.907960000000003</v>
      </c>
      <c r="N614" s="9">
        <v>63.378610000000002</v>
      </c>
      <c r="O614" s="14">
        <v>49.441319999999997</v>
      </c>
      <c r="P614" s="9">
        <v>60.892809999999997</v>
      </c>
      <c r="Q614" s="9">
        <v>63.74738</v>
      </c>
      <c r="R614" s="23">
        <v>39.068950000000001</v>
      </c>
      <c r="S614" s="8">
        <v>0.72972999999999999</v>
      </c>
      <c r="T614" s="9">
        <v>0.98485</v>
      </c>
      <c r="U614" s="24">
        <v>0.36876999999999999</v>
      </c>
    </row>
    <row r="615" spans="1:21" ht="12" customHeight="1" x14ac:dyDescent="0.25">
      <c r="A615" s="5">
        <v>1377</v>
      </c>
      <c r="B615" s="19" t="s">
        <v>298</v>
      </c>
      <c r="C615" s="19" t="s">
        <v>17</v>
      </c>
      <c r="D615" s="5" t="s">
        <v>299</v>
      </c>
      <c r="E615" s="6">
        <v>366930.81682155002</v>
      </c>
      <c r="F615" s="6">
        <v>6548591.5759691</v>
      </c>
      <c r="G615" s="7" t="str">
        <f>HYPERLINK("https://minkarta.lantmateriet.se/?e=366930,81682155&amp;n=6548591,5759691&amp;z=12&amp;profile=flygbildmedgranser&amp;background=2&amp;boundaries=true","Visa")</f>
        <v>Visa</v>
      </c>
      <c r="H615" s="5" t="s">
        <v>9</v>
      </c>
      <c r="I615" s="8">
        <v>44.174199999999999</v>
      </c>
      <c r="J615" s="9">
        <v>54.57152</v>
      </c>
      <c r="K615" s="9">
        <v>56.025480000000002</v>
      </c>
      <c r="L615" s="14">
        <v>45.11936</v>
      </c>
      <c r="M615" s="9">
        <v>55.071010000000001</v>
      </c>
      <c r="N615" s="9">
        <v>58.541670000000003</v>
      </c>
      <c r="O615" s="14">
        <v>45.716349999999998</v>
      </c>
      <c r="P615" s="9">
        <v>56.05583</v>
      </c>
      <c r="Q615" s="9">
        <v>58.910409999999999</v>
      </c>
      <c r="R615" s="23">
        <v>42.653579999999998</v>
      </c>
      <c r="S615" s="8">
        <v>0.59699000000000002</v>
      </c>
      <c r="T615" s="9">
        <v>0.98482000000000003</v>
      </c>
      <c r="U615" s="24">
        <v>0.36874000000000001</v>
      </c>
    </row>
    <row r="616" spans="1:21" ht="12" customHeight="1" x14ac:dyDescent="0.25">
      <c r="A616" s="5">
        <v>1378</v>
      </c>
      <c r="B616" s="19" t="s">
        <v>298</v>
      </c>
      <c r="C616" s="19" t="s">
        <v>17</v>
      </c>
      <c r="D616" s="5" t="s">
        <v>299</v>
      </c>
      <c r="E616" s="6">
        <v>366925.49979060999</v>
      </c>
      <c r="F616" s="6">
        <v>6548593.3769885004</v>
      </c>
      <c r="G616" s="7" t="str">
        <f>HYPERLINK("https://minkarta.lantmateriet.se/?e=366925,49979061&amp;n=6548593,3769885&amp;z=12&amp;profile=flygbildmedgranser&amp;background=2&amp;boundaries=true","Visa")</f>
        <v>Visa</v>
      </c>
      <c r="H616" s="5" t="s">
        <v>9</v>
      </c>
      <c r="I616" s="8">
        <v>43.445630000000001</v>
      </c>
      <c r="J616" s="9">
        <v>52.222209999999997</v>
      </c>
      <c r="K616" s="9">
        <v>53.676169999999999</v>
      </c>
      <c r="L616" s="14">
        <v>44.37444</v>
      </c>
      <c r="M616" s="9">
        <v>52.721710000000002</v>
      </c>
      <c r="N616" s="9">
        <v>56.192360000000001</v>
      </c>
      <c r="O616" s="14">
        <v>44.826889999999999</v>
      </c>
      <c r="P616" s="9">
        <v>53.707549999999998</v>
      </c>
      <c r="Q616" s="9">
        <v>56.56212</v>
      </c>
      <c r="R616" s="23">
        <v>34.424219999999998</v>
      </c>
      <c r="S616" s="8">
        <v>0.45245000000000002</v>
      </c>
      <c r="T616" s="9">
        <v>0.98584000000000005</v>
      </c>
      <c r="U616" s="24">
        <v>0.36975999999999998</v>
      </c>
    </row>
    <row r="617" spans="1:21" ht="12" customHeight="1" x14ac:dyDescent="0.25">
      <c r="A617" s="5">
        <v>1380</v>
      </c>
      <c r="B617" s="19" t="s">
        <v>298</v>
      </c>
      <c r="C617" s="19" t="s">
        <v>17</v>
      </c>
      <c r="D617" s="5" t="s">
        <v>299</v>
      </c>
      <c r="E617" s="6">
        <v>366921.97613299999</v>
      </c>
      <c r="F617" s="6">
        <v>6548587.2160649002</v>
      </c>
      <c r="G617" s="7" t="str">
        <f>HYPERLINK("https://minkarta.lantmateriet.se/?e=366921,976133&amp;n=6548587,2160649&amp;z=12&amp;profile=flygbildmedgranser&amp;background=2&amp;boundaries=true","Visa")</f>
        <v>Visa</v>
      </c>
      <c r="H617" s="5" t="s">
        <v>11</v>
      </c>
      <c r="I617" s="8">
        <v>47.711530000000003</v>
      </c>
      <c r="J617" s="9">
        <v>57.723930000000003</v>
      </c>
      <c r="K617" s="9">
        <v>59.177889999999998</v>
      </c>
      <c r="L617" s="14">
        <v>48.662880000000001</v>
      </c>
      <c r="M617" s="9">
        <v>58.22343</v>
      </c>
      <c r="N617" s="9">
        <v>61.69408</v>
      </c>
      <c r="O617" s="14">
        <v>49.798009999999998</v>
      </c>
      <c r="P617" s="9">
        <v>59.209580000000003</v>
      </c>
      <c r="Q617" s="9">
        <v>62.064149999999998</v>
      </c>
      <c r="R617" s="23">
        <v>44.063760000000002</v>
      </c>
      <c r="S617" s="8">
        <v>1.13513</v>
      </c>
      <c r="T617" s="9">
        <v>0.98614999999999997</v>
      </c>
      <c r="U617" s="24">
        <v>0.37007000000000001</v>
      </c>
    </row>
    <row r="618" spans="1:21" ht="12" customHeight="1" x14ac:dyDescent="0.25">
      <c r="A618" s="5">
        <v>1381</v>
      </c>
      <c r="B618" s="19" t="s">
        <v>298</v>
      </c>
      <c r="C618" s="19" t="s">
        <v>17</v>
      </c>
      <c r="D618" s="5" t="s">
        <v>299</v>
      </c>
      <c r="E618" s="6">
        <v>366922.67359207</v>
      </c>
      <c r="F618" s="6">
        <v>6548581.9969140003</v>
      </c>
      <c r="G618" s="7" t="str">
        <f>HYPERLINK("https://minkarta.lantmateriet.se/?e=366922,67359207&amp;n=6548581,996914&amp;z=12&amp;profile=flygbildmedgranser&amp;background=2&amp;boundaries=true","Visa")</f>
        <v>Visa</v>
      </c>
      <c r="H618" s="5" t="s">
        <v>10</v>
      </c>
      <c r="I618" s="8">
        <v>48.162300000000002</v>
      </c>
      <c r="J618" s="9">
        <v>59.876019999999997</v>
      </c>
      <c r="K618" s="9">
        <v>61.329979999999999</v>
      </c>
      <c r="L618" s="14">
        <v>49.113979999999998</v>
      </c>
      <c r="M618" s="9">
        <v>60.375509999999998</v>
      </c>
      <c r="N618" s="9">
        <v>63.846170000000001</v>
      </c>
      <c r="O618" s="14">
        <v>50.758670000000002</v>
      </c>
      <c r="P618" s="9">
        <v>60.920859999999998</v>
      </c>
      <c r="Q618" s="9">
        <v>63.77543</v>
      </c>
      <c r="R618" s="23">
        <v>49.890619999999998</v>
      </c>
      <c r="S618" s="8">
        <v>1.64469</v>
      </c>
      <c r="T618" s="9">
        <v>0.54535</v>
      </c>
      <c r="U618" s="24">
        <v>-7.0739999999999997E-2</v>
      </c>
    </row>
    <row r="619" spans="1:21" ht="12" customHeight="1" x14ac:dyDescent="0.25">
      <c r="A619" s="5">
        <v>1383</v>
      </c>
      <c r="B619" s="19" t="s">
        <v>300</v>
      </c>
      <c r="C619" s="19" t="s">
        <v>17</v>
      </c>
      <c r="D619" s="5" t="s">
        <v>301</v>
      </c>
      <c r="E619" s="6">
        <v>366921.65690586</v>
      </c>
      <c r="F619" s="6">
        <v>6548597.3919155002</v>
      </c>
      <c r="G619" s="7" t="str">
        <f>HYPERLINK("https://minkarta.lantmateriet.se/?e=366921,65690586&amp;n=6548597,3919155&amp;z=12&amp;profile=flygbildmedgranser&amp;background=2&amp;boundaries=true","Visa")</f>
        <v>Visa</v>
      </c>
      <c r="H619" s="5" t="s">
        <v>9</v>
      </c>
      <c r="I619" s="8">
        <v>42.455939999999998</v>
      </c>
      <c r="J619" s="9">
        <v>48.65907</v>
      </c>
      <c r="K619" s="9">
        <v>50.113030000000002</v>
      </c>
      <c r="L619" s="14">
        <v>43.378500000000003</v>
      </c>
      <c r="M619" s="9">
        <v>49.158560000000001</v>
      </c>
      <c r="N619" s="9">
        <v>52.629219999999997</v>
      </c>
      <c r="O619" s="14">
        <v>43.823039999999999</v>
      </c>
      <c r="P619" s="9">
        <v>50.143380000000001</v>
      </c>
      <c r="Q619" s="9">
        <v>52.997959999999999</v>
      </c>
      <c r="R619" s="23">
        <v>33.709400000000002</v>
      </c>
      <c r="S619" s="8">
        <v>0.44453999999999999</v>
      </c>
      <c r="T619" s="9">
        <v>0.98482000000000003</v>
      </c>
      <c r="U619" s="24">
        <v>0.36874000000000001</v>
      </c>
    </row>
    <row r="620" spans="1:21" ht="12" customHeight="1" x14ac:dyDescent="0.25">
      <c r="A620" s="5">
        <v>1384</v>
      </c>
      <c r="B620" s="19" t="s">
        <v>300</v>
      </c>
      <c r="C620" s="19" t="s">
        <v>17</v>
      </c>
      <c r="D620" s="5" t="s">
        <v>301</v>
      </c>
      <c r="E620" s="6">
        <v>366916.37632037001</v>
      </c>
      <c r="F620" s="6">
        <v>6548599.1599698002</v>
      </c>
      <c r="G620" s="7" t="str">
        <f>HYPERLINK("https://minkarta.lantmateriet.se/?e=366916,37632037&amp;n=6548599,1599698&amp;z=12&amp;profile=flygbildmedgranser&amp;background=2&amp;boundaries=true","Visa")</f>
        <v>Visa</v>
      </c>
      <c r="H620" s="5" t="s">
        <v>9</v>
      </c>
      <c r="I620" s="8">
        <v>42.279919999999997</v>
      </c>
      <c r="J620" s="9">
        <v>42.945630000000001</v>
      </c>
      <c r="K620" s="9">
        <v>44.3996</v>
      </c>
      <c r="L620" s="14">
        <v>43.200690000000002</v>
      </c>
      <c r="M620" s="9">
        <v>43.445129999999999</v>
      </c>
      <c r="N620" s="9">
        <v>46.915790000000001</v>
      </c>
      <c r="O620" s="14">
        <v>43.754399999999997</v>
      </c>
      <c r="P620" s="9">
        <v>44.430399999999999</v>
      </c>
      <c r="Q620" s="9">
        <v>47.284970000000001</v>
      </c>
      <c r="R620" s="23">
        <v>34.395350000000001</v>
      </c>
      <c r="S620" s="8">
        <v>0.55371000000000004</v>
      </c>
      <c r="T620" s="9">
        <v>0.98526999999999998</v>
      </c>
      <c r="U620" s="24">
        <v>0.36918000000000001</v>
      </c>
    </row>
    <row r="621" spans="1:21" ht="12" customHeight="1" x14ac:dyDescent="0.25">
      <c r="A621" s="5">
        <v>1386</v>
      </c>
      <c r="B621" s="19" t="s">
        <v>300</v>
      </c>
      <c r="C621" s="19" t="s">
        <v>17</v>
      </c>
      <c r="D621" s="5" t="s">
        <v>301</v>
      </c>
      <c r="E621" s="6">
        <v>366912.90013327001</v>
      </c>
      <c r="F621" s="6">
        <v>6548592.9925646996</v>
      </c>
      <c r="G621" s="7" t="str">
        <f>HYPERLINK("https://minkarta.lantmateriet.se/?e=366912,90013327&amp;n=6548592,9925647&amp;z=12&amp;profile=flygbildmedgranser&amp;background=2&amp;boundaries=true","Visa")</f>
        <v>Visa</v>
      </c>
      <c r="H621" s="5" t="s">
        <v>11</v>
      </c>
      <c r="I621" s="8">
        <v>47.764000000000003</v>
      </c>
      <c r="J621" s="9">
        <v>57.231470000000002</v>
      </c>
      <c r="K621" s="9">
        <v>58.685429999999997</v>
      </c>
      <c r="L621" s="14">
        <v>48.709470000000003</v>
      </c>
      <c r="M621" s="9">
        <v>57.730960000000003</v>
      </c>
      <c r="N621" s="9">
        <v>61.201619999999998</v>
      </c>
      <c r="O621" s="14">
        <v>49.519539999999999</v>
      </c>
      <c r="P621" s="9">
        <v>58.808390000000003</v>
      </c>
      <c r="Q621" s="9">
        <v>61.662959999999998</v>
      </c>
      <c r="R621" s="23">
        <v>48.53772</v>
      </c>
      <c r="S621" s="8">
        <v>0.81006999999999996</v>
      </c>
      <c r="T621" s="9">
        <v>1.0774300000000001</v>
      </c>
      <c r="U621" s="24">
        <v>0.46133999999999997</v>
      </c>
    </row>
    <row r="622" spans="1:21" ht="12" customHeight="1" x14ac:dyDescent="0.25">
      <c r="A622" s="5">
        <v>1387</v>
      </c>
      <c r="B622" s="19" t="s">
        <v>300</v>
      </c>
      <c r="C622" s="19" t="s">
        <v>17</v>
      </c>
      <c r="D622" s="5" t="s">
        <v>301</v>
      </c>
      <c r="E622" s="6">
        <v>366913.62860240001</v>
      </c>
      <c r="F622" s="6">
        <v>6548587.7134299995</v>
      </c>
      <c r="G622" s="7" t="str">
        <f>HYPERLINK("https://minkarta.lantmateriet.se/?e=366913,6286024&amp;n=6548587,71343&amp;z=12&amp;profile=flygbildmedgranser&amp;background=2&amp;boundaries=true","Visa")</f>
        <v>Visa</v>
      </c>
      <c r="H622" s="5" t="s">
        <v>10</v>
      </c>
      <c r="I622" s="8">
        <v>48.410580000000003</v>
      </c>
      <c r="J622" s="9">
        <v>60.061839999999997</v>
      </c>
      <c r="K622" s="9">
        <v>61.515799999999999</v>
      </c>
      <c r="L622" s="14">
        <v>49.358969999999999</v>
      </c>
      <c r="M622" s="9">
        <v>60.561329999999998</v>
      </c>
      <c r="N622" s="9">
        <v>64.031989999999993</v>
      </c>
      <c r="O622" s="14">
        <v>51.24812</v>
      </c>
      <c r="P622" s="9">
        <v>61.959820000000001</v>
      </c>
      <c r="Q622" s="9">
        <v>64.814400000000006</v>
      </c>
      <c r="R622" s="23">
        <v>49.976390000000002</v>
      </c>
      <c r="S622" s="8">
        <v>1.8891500000000001</v>
      </c>
      <c r="T622" s="9">
        <v>1.39849</v>
      </c>
      <c r="U622" s="24">
        <v>0.78241000000000005</v>
      </c>
    </row>
    <row r="623" spans="1:21" ht="12" customHeight="1" x14ac:dyDescent="0.25">
      <c r="A623" s="5">
        <v>1388</v>
      </c>
      <c r="B623" s="19" t="s">
        <v>300</v>
      </c>
      <c r="C623" s="19" t="s">
        <v>17</v>
      </c>
      <c r="D623" s="5" t="s">
        <v>301</v>
      </c>
      <c r="E623" s="6">
        <v>366913.07271024998</v>
      </c>
      <c r="F623" s="6">
        <v>6548583.2485162998</v>
      </c>
      <c r="G623" s="7" t="str">
        <f>HYPERLINK("https://minkarta.lantmateriet.se/?e=366913,07271025&amp;n=6548583,2485163&amp;z=12&amp;profile=flygbildmedgranser&amp;background=2&amp;boundaries=true","Visa")</f>
        <v>Visa</v>
      </c>
      <c r="H623" s="5" t="s">
        <v>11</v>
      </c>
      <c r="I623" s="8">
        <v>51.778210000000001</v>
      </c>
      <c r="J623" s="9">
        <v>60.224969999999999</v>
      </c>
      <c r="K623" s="9">
        <v>61.678930000000001</v>
      </c>
      <c r="L623" s="14">
        <v>52.753309999999999</v>
      </c>
      <c r="M623" s="9">
        <v>60.724460000000001</v>
      </c>
      <c r="N623" s="9">
        <v>64.195120000000003</v>
      </c>
      <c r="O623" s="14">
        <v>53.951230000000002</v>
      </c>
      <c r="P623" s="9">
        <v>61.548340000000003</v>
      </c>
      <c r="Q623" s="9">
        <v>64.402919999999995</v>
      </c>
      <c r="R623" s="23">
        <v>49.118850000000002</v>
      </c>
      <c r="S623" s="8">
        <v>1.1979200000000001</v>
      </c>
      <c r="T623" s="9">
        <v>0.82387999999999995</v>
      </c>
      <c r="U623" s="24">
        <v>0.20780000000000001</v>
      </c>
    </row>
    <row r="624" spans="1:21" ht="12" customHeight="1" x14ac:dyDescent="0.25">
      <c r="A624" s="5">
        <v>1390</v>
      </c>
      <c r="B624" s="19" t="s">
        <v>302</v>
      </c>
      <c r="C624" s="19" t="s">
        <v>17</v>
      </c>
      <c r="D624" s="5" t="s">
        <v>303</v>
      </c>
      <c r="E624" s="6">
        <v>366912.52831893001</v>
      </c>
      <c r="F624" s="6">
        <v>6548603.1839707</v>
      </c>
      <c r="G624" s="7" t="str">
        <f>HYPERLINK("https://minkarta.lantmateriet.se/?e=366912,52831893&amp;n=6548603,1839707&amp;z=12&amp;profile=flygbildmedgranser&amp;background=2&amp;boundaries=true","Visa")</f>
        <v>Visa</v>
      </c>
      <c r="H624" s="5" t="s">
        <v>9</v>
      </c>
      <c r="I624" s="8">
        <v>42.601019999999998</v>
      </c>
      <c r="J624" s="9">
        <v>45.627450000000003</v>
      </c>
      <c r="K624" s="9">
        <v>47.081409999999998</v>
      </c>
      <c r="L624" s="14">
        <v>43.529620000000001</v>
      </c>
      <c r="M624" s="9">
        <v>46.126950000000001</v>
      </c>
      <c r="N624" s="9">
        <v>49.5976</v>
      </c>
      <c r="O624" s="14">
        <v>44.119660000000003</v>
      </c>
      <c r="P624" s="9">
        <v>47.111759999999997</v>
      </c>
      <c r="Q624" s="9">
        <v>49.966340000000002</v>
      </c>
      <c r="R624" s="23">
        <v>34.173679999999997</v>
      </c>
      <c r="S624" s="8">
        <v>0.59004000000000001</v>
      </c>
      <c r="T624" s="9">
        <v>0.98480999999999996</v>
      </c>
      <c r="U624" s="24">
        <v>0.36874000000000001</v>
      </c>
    </row>
    <row r="625" spans="1:21" ht="12" customHeight="1" x14ac:dyDescent="0.25">
      <c r="A625" s="5">
        <v>1391</v>
      </c>
      <c r="B625" s="19" t="s">
        <v>302</v>
      </c>
      <c r="C625" s="19" t="s">
        <v>17</v>
      </c>
      <c r="D625" s="5" t="s">
        <v>303</v>
      </c>
      <c r="E625" s="6">
        <v>366907.27088943002</v>
      </c>
      <c r="F625" s="6">
        <v>6548604.9564260999</v>
      </c>
      <c r="G625" s="7" t="str">
        <f>HYPERLINK("https://minkarta.lantmateriet.se/?e=366907,27088943&amp;n=6548604,9564261&amp;z=12&amp;profile=flygbildmedgranser&amp;background=2&amp;boundaries=true","Visa")</f>
        <v>Visa</v>
      </c>
      <c r="H625" s="5" t="s">
        <v>9</v>
      </c>
      <c r="I625" s="8">
        <v>42.563029999999998</v>
      </c>
      <c r="J625" s="9">
        <v>45.668709999999997</v>
      </c>
      <c r="K625" s="9">
        <v>47.122680000000003</v>
      </c>
      <c r="L625" s="14">
        <v>43.499119999999998</v>
      </c>
      <c r="M625" s="9">
        <v>46.168210000000002</v>
      </c>
      <c r="N625" s="9">
        <v>49.638869999999997</v>
      </c>
      <c r="O625" s="14">
        <v>44.08728</v>
      </c>
      <c r="P625" s="9">
        <v>47.153030000000001</v>
      </c>
      <c r="Q625" s="9">
        <v>50.007599999999996</v>
      </c>
      <c r="R625" s="23">
        <v>34.473080000000003</v>
      </c>
      <c r="S625" s="8">
        <v>0.58816000000000002</v>
      </c>
      <c r="T625" s="9">
        <v>0.98482000000000003</v>
      </c>
      <c r="U625" s="24">
        <v>0.36873</v>
      </c>
    </row>
    <row r="626" spans="1:21" ht="12" customHeight="1" x14ac:dyDescent="0.25">
      <c r="A626" s="5">
        <v>1393</v>
      </c>
      <c r="B626" s="19" t="s">
        <v>302</v>
      </c>
      <c r="C626" s="19" t="s">
        <v>17</v>
      </c>
      <c r="D626" s="5" t="s">
        <v>303</v>
      </c>
      <c r="E626" s="6">
        <v>366903.74314266001</v>
      </c>
      <c r="F626" s="6">
        <v>6548598.8115587998</v>
      </c>
      <c r="G626" s="7" t="str">
        <f>HYPERLINK("https://minkarta.lantmateriet.se/?e=366903,74314266&amp;n=6548598,8115588&amp;z=12&amp;profile=flygbildmedgranser&amp;background=2&amp;boundaries=true","Visa")</f>
        <v>Visa</v>
      </c>
      <c r="H626" s="5" t="s">
        <v>11</v>
      </c>
      <c r="I626" s="8">
        <v>47.968429999999998</v>
      </c>
      <c r="J626" s="9">
        <v>58.470700000000001</v>
      </c>
      <c r="K626" s="9">
        <v>59.924669999999999</v>
      </c>
      <c r="L626" s="14">
        <v>48.933169999999997</v>
      </c>
      <c r="M626" s="9">
        <v>58.970199999999998</v>
      </c>
      <c r="N626" s="9">
        <v>62.440860000000001</v>
      </c>
      <c r="O626" s="14">
        <v>49.799419999999998</v>
      </c>
      <c r="P626" s="9">
        <v>59.95852</v>
      </c>
      <c r="Q626" s="9">
        <v>62.813099999999999</v>
      </c>
      <c r="R626" s="23">
        <v>48.690739999999998</v>
      </c>
      <c r="S626" s="8">
        <v>0.86624999999999996</v>
      </c>
      <c r="T626" s="9">
        <v>0.98831999999999998</v>
      </c>
      <c r="U626" s="24">
        <v>0.37224000000000002</v>
      </c>
    </row>
    <row r="627" spans="1:21" ht="12" customHeight="1" x14ac:dyDescent="0.25">
      <c r="A627" s="5">
        <v>1394</v>
      </c>
      <c r="B627" s="19" t="s">
        <v>302</v>
      </c>
      <c r="C627" s="19" t="s">
        <v>17</v>
      </c>
      <c r="D627" s="5" t="s">
        <v>303</v>
      </c>
      <c r="E627" s="6">
        <v>366904.46808536001</v>
      </c>
      <c r="F627" s="6">
        <v>6548593.5714036003</v>
      </c>
      <c r="G627" s="7" t="str">
        <f>HYPERLINK("https://minkarta.lantmateriet.se/?e=366904,46808536&amp;n=6548593,5714036&amp;z=12&amp;profile=flygbildmedgranser&amp;background=2&amp;boundaries=true","Visa")</f>
        <v>Visa</v>
      </c>
      <c r="H627" s="5" t="s">
        <v>10</v>
      </c>
      <c r="I627" s="8">
        <v>48.099960000000003</v>
      </c>
      <c r="J627" s="9">
        <v>57.550609999999999</v>
      </c>
      <c r="K627" s="9">
        <v>59.004570000000001</v>
      </c>
      <c r="L627" s="14">
        <v>49.06317</v>
      </c>
      <c r="M627" s="9">
        <v>58.0501</v>
      </c>
      <c r="N627" s="9">
        <v>61.520760000000003</v>
      </c>
      <c r="O627" s="14">
        <v>51.263539999999999</v>
      </c>
      <c r="P627" s="9">
        <v>59.30341</v>
      </c>
      <c r="Q627" s="9">
        <v>62.157980000000002</v>
      </c>
      <c r="R627" s="23">
        <v>50.611440000000002</v>
      </c>
      <c r="S627" s="8">
        <v>2.2003699999999999</v>
      </c>
      <c r="T627" s="9">
        <v>1.2533099999999999</v>
      </c>
      <c r="U627" s="24">
        <v>0.63722000000000001</v>
      </c>
    </row>
    <row r="628" spans="1:21" ht="12" customHeight="1" x14ac:dyDescent="0.25">
      <c r="A628" s="5">
        <v>1395</v>
      </c>
      <c r="B628" s="19" t="s">
        <v>302</v>
      </c>
      <c r="C628" s="19" t="s">
        <v>17</v>
      </c>
      <c r="D628" s="5" t="s">
        <v>303</v>
      </c>
      <c r="E628" s="6">
        <v>366903.95418573002</v>
      </c>
      <c r="F628" s="6">
        <v>6548589.1055316003</v>
      </c>
      <c r="G628" s="7" t="str">
        <f>HYPERLINK("https://minkarta.lantmateriet.se/?e=366903,95418573&amp;n=6548589,1055316&amp;z=12&amp;profile=flygbildmedgranser&amp;background=2&amp;boundaries=true","Visa")</f>
        <v>Visa</v>
      </c>
      <c r="H628" s="5" t="s">
        <v>11</v>
      </c>
      <c r="I628" s="8">
        <v>51.831409999999998</v>
      </c>
      <c r="J628" s="9">
        <v>59.691130000000001</v>
      </c>
      <c r="K628" s="9">
        <v>61.145090000000003</v>
      </c>
      <c r="L628" s="14">
        <v>52.806330000000003</v>
      </c>
      <c r="M628" s="9">
        <v>60.190620000000003</v>
      </c>
      <c r="N628" s="9">
        <v>63.661279999999998</v>
      </c>
      <c r="O628" s="14">
        <v>54.128700000000002</v>
      </c>
      <c r="P628" s="9">
        <v>61.095939999999999</v>
      </c>
      <c r="Q628" s="9">
        <v>63.950510000000001</v>
      </c>
      <c r="R628" s="23">
        <v>49.375770000000003</v>
      </c>
      <c r="S628" s="8">
        <v>1.32237</v>
      </c>
      <c r="T628" s="9">
        <v>0.90532000000000001</v>
      </c>
      <c r="U628" s="24">
        <v>0.28922999999999999</v>
      </c>
    </row>
    <row r="629" spans="1:21" ht="12" customHeight="1" x14ac:dyDescent="0.25">
      <c r="A629" s="5">
        <v>1397</v>
      </c>
      <c r="B629" s="19" t="s">
        <v>304</v>
      </c>
      <c r="C629" s="19" t="s">
        <v>17</v>
      </c>
      <c r="D629" s="5" t="s">
        <v>305</v>
      </c>
      <c r="E629" s="6">
        <v>366903.42591157003</v>
      </c>
      <c r="F629" s="6">
        <v>6548608.9334119</v>
      </c>
      <c r="G629" s="7" t="str">
        <f>HYPERLINK("https://minkarta.lantmateriet.se/?e=366903,42591157&amp;n=6548608,9334119&amp;z=12&amp;profile=flygbildmedgranser&amp;background=2&amp;boundaries=true","Visa")</f>
        <v>Visa</v>
      </c>
      <c r="H629" s="5" t="s">
        <v>9</v>
      </c>
      <c r="I629" s="8">
        <v>42.636069999999997</v>
      </c>
      <c r="J629" s="9">
        <v>45.610460000000003</v>
      </c>
      <c r="K629" s="9">
        <v>47.064419999999998</v>
      </c>
      <c r="L629" s="14">
        <v>43.570999999999998</v>
      </c>
      <c r="M629" s="9">
        <v>46.109949999999998</v>
      </c>
      <c r="N629" s="9">
        <v>49.58061</v>
      </c>
      <c r="O629" s="14">
        <v>44.2029</v>
      </c>
      <c r="P629" s="9">
        <v>47.094769999999997</v>
      </c>
      <c r="Q629" s="9">
        <v>49.949350000000003</v>
      </c>
      <c r="R629" s="23">
        <v>34.19482</v>
      </c>
      <c r="S629" s="8">
        <v>0.63190000000000002</v>
      </c>
      <c r="T629" s="9">
        <v>0.98482000000000003</v>
      </c>
      <c r="U629" s="24">
        <v>0.36874000000000001</v>
      </c>
    </row>
    <row r="630" spans="1:21" ht="12" customHeight="1" x14ac:dyDescent="0.25">
      <c r="A630" s="5">
        <v>1398</v>
      </c>
      <c r="B630" s="19" t="s">
        <v>304</v>
      </c>
      <c r="C630" s="19" t="s">
        <v>17</v>
      </c>
      <c r="D630" s="5" t="s">
        <v>305</v>
      </c>
      <c r="E630" s="6">
        <v>366898.15432226</v>
      </c>
      <c r="F630" s="6">
        <v>6548610.7224687003</v>
      </c>
      <c r="G630" s="7" t="str">
        <f>HYPERLINK("https://minkarta.lantmateriet.se/?e=366898,15432226&amp;n=6548610,7224687&amp;z=12&amp;profile=flygbildmedgranser&amp;background=2&amp;boundaries=true","Visa")</f>
        <v>Visa</v>
      </c>
      <c r="H630" s="5" t="s">
        <v>9</v>
      </c>
      <c r="I630" s="8">
        <v>42.350479999999997</v>
      </c>
      <c r="J630" s="9">
        <v>47.139209999999999</v>
      </c>
      <c r="K630" s="9">
        <v>48.593170000000001</v>
      </c>
      <c r="L630" s="14">
        <v>43.286079999999998</v>
      </c>
      <c r="M630" s="9">
        <v>47.6387</v>
      </c>
      <c r="N630" s="9">
        <v>51.109360000000002</v>
      </c>
      <c r="O630" s="14">
        <v>43.992269999999998</v>
      </c>
      <c r="P630" s="9">
        <v>48.623519999999999</v>
      </c>
      <c r="Q630" s="9">
        <v>51.478099999999998</v>
      </c>
      <c r="R630" s="23">
        <v>39.165599999999998</v>
      </c>
      <c r="S630" s="8">
        <v>0.70618999999999998</v>
      </c>
      <c r="T630" s="9">
        <v>0.98482000000000003</v>
      </c>
      <c r="U630" s="24">
        <v>0.36874000000000001</v>
      </c>
    </row>
    <row r="631" spans="1:21" ht="12" customHeight="1" x14ac:dyDescent="0.25">
      <c r="A631" s="5">
        <v>1400</v>
      </c>
      <c r="B631" s="19" t="s">
        <v>304</v>
      </c>
      <c r="C631" s="19" t="s">
        <v>17</v>
      </c>
      <c r="D631" s="5" t="s">
        <v>305</v>
      </c>
      <c r="E631" s="6">
        <v>366894.57165841002</v>
      </c>
      <c r="F631" s="6">
        <v>6548604.6335487999</v>
      </c>
      <c r="G631" s="7" t="str">
        <f>HYPERLINK("https://minkarta.lantmateriet.se/?e=366894,57165841&amp;n=6548604,6335488&amp;z=12&amp;profile=flygbildmedgranser&amp;background=2&amp;boundaries=true","Visa")</f>
        <v>Visa</v>
      </c>
      <c r="H631" s="5" t="s">
        <v>11</v>
      </c>
      <c r="I631" s="8">
        <v>48.15963</v>
      </c>
      <c r="J631" s="9">
        <v>55.764980000000001</v>
      </c>
      <c r="K631" s="9">
        <v>57.218940000000003</v>
      </c>
      <c r="L631" s="14">
        <v>49.103259999999999</v>
      </c>
      <c r="M631" s="9">
        <v>56.264479999999999</v>
      </c>
      <c r="N631" s="9">
        <v>59.735129999999998</v>
      </c>
      <c r="O631" s="14">
        <v>49.959060000000001</v>
      </c>
      <c r="P631" s="9">
        <v>57.006210000000003</v>
      </c>
      <c r="Q631" s="9">
        <v>59.860790000000001</v>
      </c>
      <c r="R631" s="23">
        <v>48.726129999999998</v>
      </c>
      <c r="S631" s="8">
        <v>0.85580000000000001</v>
      </c>
      <c r="T631" s="9">
        <v>0.74173</v>
      </c>
      <c r="U631" s="24">
        <v>0.12565999999999999</v>
      </c>
    </row>
    <row r="632" spans="1:21" ht="12" customHeight="1" x14ac:dyDescent="0.25">
      <c r="A632" s="5">
        <v>1401</v>
      </c>
      <c r="B632" s="19" t="s">
        <v>304</v>
      </c>
      <c r="C632" s="19" t="s">
        <v>17</v>
      </c>
      <c r="D632" s="5" t="s">
        <v>305</v>
      </c>
      <c r="E632" s="6">
        <v>366895.2740411</v>
      </c>
      <c r="F632" s="6">
        <v>6548599.4058339996</v>
      </c>
      <c r="G632" s="7" t="str">
        <f>HYPERLINK("https://minkarta.lantmateriet.se/?e=366895,2740411&amp;n=6548599,405834&amp;z=12&amp;profile=flygbildmedgranser&amp;background=2&amp;boundaries=true","Visa")</f>
        <v>Visa</v>
      </c>
      <c r="H632" s="5" t="s">
        <v>10</v>
      </c>
      <c r="I632" s="8">
        <v>48.97983</v>
      </c>
      <c r="J632" s="9">
        <v>59.203060000000001</v>
      </c>
      <c r="K632" s="9">
        <v>60.657020000000003</v>
      </c>
      <c r="L632" s="14">
        <v>49.924010000000003</v>
      </c>
      <c r="M632" s="9">
        <v>59.702550000000002</v>
      </c>
      <c r="N632" s="9">
        <v>63.173209999999997</v>
      </c>
      <c r="O632" s="14">
        <v>52.156550000000003</v>
      </c>
      <c r="P632" s="9">
        <v>60.679000000000002</v>
      </c>
      <c r="Q632" s="9">
        <v>63.533580000000001</v>
      </c>
      <c r="R632" s="23">
        <v>50.359870000000001</v>
      </c>
      <c r="S632" s="8">
        <v>2.2325400000000002</v>
      </c>
      <c r="T632" s="9">
        <v>0.97645000000000004</v>
      </c>
      <c r="U632" s="24">
        <v>0.36037000000000002</v>
      </c>
    </row>
    <row r="633" spans="1:21" ht="12" customHeight="1" x14ac:dyDescent="0.25">
      <c r="A633" s="5">
        <v>1402</v>
      </c>
      <c r="B633" s="19" t="s">
        <v>304</v>
      </c>
      <c r="C633" s="19" t="s">
        <v>17</v>
      </c>
      <c r="D633" s="5" t="s">
        <v>305</v>
      </c>
      <c r="E633" s="6">
        <v>366894.78462538001</v>
      </c>
      <c r="F633" s="6">
        <v>6548594.8985698</v>
      </c>
      <c r="G633" s="7" t="str">
        <f>HYPERLINK("https://minkarta.lantmateriet.se/?e=366894,78462538&amp;n=6548594,8985698&amp;z=12&amp;profile=flygbildmedgranser&amp;background=2&amp;boundaries=true","Visa")</f>
        <v>Visa</v>
      </c>
      <c r="H633" s="5" t="s">
        <v>11</v>
      </c>
      <c r="I633" s="8">
        <v>51.631</v>
      </c>
      <c r="J633" s="9">
        <v>59.406419999999997</v>
      </c>
      <c r="K633" s="9">
        <v>60.860379999999999</v>
      </c>
      <c r="L633" s="14">
        <v>52.596559999999997</v>
      </c>
      <c r="M633" s="9">
        <v>59.905909999999999</v>
      </c>
      <c r="N633" s="9">
        <v>63.376570000000001</v>
      </c>
      <c r="O633" s="14">
        <v>54.050310000000003</v>
      </c>
      <c r="P633" s="9">
        <v>60.905650000000001</v>
      </c>
      <c r="Q633" s="9">
        <v>63.76023</v>
      </c>
      <c r="R633" s="23">
        <v>49.521270000000001</v>
      </c>
      <c r="S633" s="8">
        <v>1.4537500000000001</v>
      </c>
      <c r="T633" s="9">
        <v>0.99973999999999996</v>
      </c>
      <c r="U633" s="24">
        <v>0.38366</v>
      </c>
    </row>
    <row r="634" spans="1:21" ht="12" customHeight="1" x14ac:dyDescent="0.25">
      <c r="A634" s="5">
        <v>1403</v>
      </c>
      <c r="B634" s="19" t="s">
        <v>306</v>
      </c>
      <c r="C634" s="19" t="s">
        <v>17</v>
      </c>
      <c r="D634" s="5" t="s">
        <v>307</v>
      </c>
      <c r="E634" s="6">
        <v>366886.00607675</v>
      </c>
      <c r="F634" s="6">
        <v>6548605.2478900999</v>
      </c>
      <c r="G634" s="7" t="str">
        <f>HYPERLINK("https://minkarta.lantmateriet.se/?e=366886,00607675&amp;n=6548605,2478901&amp;z=12&amp;profile=flygbildmedgranser&amp;background=2&amp;boundaries=true","Visa")</f>
        <v>Visa</v>
      </c>
      <c r="H634" s="5" t="s">
        <v>10</v>
      </c>
      <c r="I634" s="8">
        <v>49.56559</v>
      </c>
      <c r="J634" s="9">
        <v>60.513849999999998</v>
      </c>
      <c r="K634" s="9">
        <v>61.967820000000003</v>
      </c>
      <c r="L634" s="14">
        <v>50.502369999999999</v>
      </c>
      <c r="M634" s="9">
        <v>61.013350000000003</v>
      </c>
      <c r="N634" s="9">
        <v>64.484009999999998</v>
      </c>
      <c r="O634" s="14">
        <v>52.439749999999997</v>
      </c>
      <c r="P634" s="9">
        <v>61.79853</v>
      </c>
      <c r="Q634" s="9">
        <v>64.653109999999998</v>
      </c>
      <c r="R634" s="23">
        <v>49.836959999999998</v>
      </c>
      <c r="S634" s="8">
        <v>1.9373800000000001</v>
      </c>
      <c r="T634" s="9">
        <v>0.78517999999999999</v>
      </c>
      <c r="U634" s="24">
        <v>0.1691</v>
      </c>
    </row>
    <row r="635" spans="1:21" ht="12" customHeight="1" x14ac:dyDescent="0.25">
      <c r="A635" s="5">
        <v>1404</v>
      </c>
      <c r="B635" s="19" t="s">
        <v>306</v>
      </c>
      <c r="C635" s="19" t="s">
        <v>17</v>
      </c>
      <c r="D635" s="5" t="s">
        <v>307</v>
      </c>
      <c r="E635" s="6">
        <v>366885.56666243001</v>
      </c>
      <c r="F635" s="6">
        <v>6548600.6990462998</v>
      </c>
      <c r="G635" s="7" t="str">
        <f>HYPERLINK("https://minkarta.lantmateriet.se/?e=366885,56666243&amp;n=6548600,6990463&amp;z=12&amp;profile=flygbildmedgranser&amp;background=2&amp;boundaries=true","Visa")</f>
        <v>Visa</v>
      </c>
      <c r="H635" s="5" t="s">
        <v>11</v>
      </c>
      <c r="I635" s="8">
        <v>52.16639</v>
      </c>
      <c r="J635" s="9">
        <v>59.185569999999998</v>
      </c>
      <c r="K635" s="9">
        <v>60.639530000000001</v>
      </c>
      <c r="L635" s="14">
        <v>53.130409999999998</v>
      </c>
      <c r="M635" s="9">
        <v>59.685070000000003</v>
      </c>
      <c r="N635" s="9">
        <v>63.155720000000002</v>
      </c>
      <c r="O635" s="14">
        <v>54.350299999999997</v>
      </c>
      <c r="P635" s="9">
        <v>60.537469999999999</v>
      </c>
      <c r="Q635" s="9">
        <v>63.392049999999998</v>
      </c>
      <c r="R635" s="23">
        <v>49.705739999999999</v>
      </c>
      <c r="S635" s="8">
        <v>1.2198899999999999</v>
      </c>
      <c r="T635" s="9">
        <v>0.85240000000000005</v>
      </c>
      <c r="U635" s="24">
        <v>0.23633000000000001</v>
      </c>
    </row>
    <row r="636" spans="1:21" ht="12" customHeight="1" x14ac:dyDescent="0.25">
      <c r="A636" s="5">
        <v>1406</v>
      </c>
      <c r="B636" s="19" t="s">
        <v>306</v>
      </c>
      <c r="C636" s="19" t="s">
        <v>17</v>
      </c>
      <c r="D636" s="5" t="s">
        <v>307</v>
      </c>
      <c r="E636" s="6">
        <v>366894.23240103002</v>
      </c>
      <c r="F636" s="6">
        <v>6548614.7429186003</v>
      </c>
      <c r="G636" s="7" t="str">
        <f>HYPERLINK("https://minkarta.lantmateriet.se/?e=366894,23240103&amp;n=6548614,7429186&amp;z=12&amp;profile=flygbildmedgranser&amp;background=2&amp;boundaries=true","Visa")</f>
        <v>Visa</v>
      </c>
      <c r="H636" s="5" t="s">
        <v>9</v>
      </c>
      <c r="I636" s="8">
        <v>42.058120000000002</v>
      </c>
      <c r="J636" s="9">
        <v>43.131500000000003</v>
      </c>
      <c r="K636" s="9">
        <v>44.585470000000001</v>
      </c>
      <c r="L636" s="14">
        <v>42.988480000000003</v>
      </c>
      <c r="M636" s="9">
        <v>43.631</v>
      </c>
      <c r="N636" s="9">
        <v>47.101660000000003</v>
      </c>
      <c r="O636" s="14">
        <v>43.447139999999997</v>
      </c>
      <c r="P636" s="9">
        <v>44.615819999999999</v>
      </c>
      <c r="Q636" s="9">
        <v>47.470390000000002</v>
      </c>
      <c r="R636" s="23">
        <v>38.352699999999999</v>
      </c>
      <c r="S636" s="8">
        <v>0.45866000000000001</v>
      </c>
      <c r="T636" s="9">
        <v>0.98482000000000003</v>
      </c>
      <c r="U636" s="24">
        <v>0.36873</v>
      </c>
    </row>
    <row r="637" spans="1:21" ht="12" customHeight="1" x14ac:dyDescent="0.25">
      <c r="A637" s="5">
        <v>1407</v>
      </c>
      <c r="B637" s="19" t="s">
        <v>306</v>
      </c>
      <c r="C637" s="19" t="s">
        <v>17</v>
      </c>
      <c r="D637" s="5" t="s">
        <v>307</v>
      </c>
      <c r="E637" s="6">
        <v>366888.95688498998</v>
      </c>
      <c r="F637" s="6">
        <v>6548616.5639289003</v>
      </c>
      <c r="G637" s="7" t="str">
        <f>HYPERLINK("https://minkarta.lantmateriet.se/?e=366888,95688499&amp;n=6548616,5639289&amp;z=12&amp;profile=flygbildmedgranser&amp;background=2&amp;boundaries=true","Visa")</f>
        <v>Visa</v>
      </c>
      <c r="H637" s="5" t="s">
        <v>9</v>
      </c>
      <c r="I637" s="8">
        <v>41.848149999999997</v>
      </c>
      <c r="J637" s="9">
        <v>43.246780000000001</v>
      </c>
      <c r="K637" s="9">
        <v>44.700740000000003</v>
      </c>
      <c r="L637" s="14">
        <v>42.781019999999998</v>
      </c>
      <c r="M637" s="9">
        <v>43.746270000000003</v>
      </c>
      <c r="N637" s="9">
        <v>47.216929999999998</v>
      </c>
      <c r="O637" s="14">
        <v>43.386400000000002</v>
      </c>
      <c r="P637" s="9">
        <v>44.731090000000002</v>
      </c>
      <c r="Q637" s="9">
        <v>47.58567</v>
      </c>
      <c r="R637" s="23">
        <v>39.564219999999999</v>
      </c>
      <c r="S637" s="8">
        <v>0.60538000000000003</v>
      </c>
      <c r="T637" s="9">
        <v>0.98482000000000003</v>
      </c>
      <c r="U637" s="24">
        <v>0.36874000000000001</v>
      </c>
    </row>
    <row r="638" spans="1:21" ht="12" customHeight="1" x14ac:dyDescent="0.25">
      <c r="A638" s="5">
        <v>1409</v>
      </c>
      <c r="B638" s="19" t="s">
        <v>306</v>
      </c>
      <c r="C638" s="19" t="s">
        <v>17</v>
      </c>
      <c r="D638" s="5" t="s">
        <v>307</v>
      </c>
      <c r="E638" s="6">
        <v>366885.37665966002</v>
      </c>
      <c r="F638" s="6">
        <v>6548610.4490480004</v>
      </c>
      <c r="G638" s="7" t="str">
        <f>HYPERLINK("https://minkarta.lantmateriet.se/?e=366885,37665966&amp;n=6548610,449048&amp;z=12&amp;profile=flygbildmedgranser&amp;background=2&amp;boundaries=true","Visa")</f>
        <v>Visa</v>
      </c>
      <c r="H638" s="5" t="s">
        <v>11</v>
      </c>
      <c r="I638" s="8">
        <v>47.671039999999998</v>
      </c>
      <c r="J638" s="9">
        <v>57.362760000000002</v>
      </c>
      <c r="K638" s="9">
        <v>58.816719999999997</v>
      </c>
      <c r="L638" s="14">
        <v>48.601939999999999</v>
      </c>
      <c r="M638" s="9">
        <v>57.862259999999999</v>
      </c>
      <c r="N638" s="9">
        <v>61.332909999999998</v>
      </c>
      <c r="O638" s="14">
        <v>50.223019999999998</v>
      </c>
      <c r="P638" s="9">
        <v>58.847070000000002</v>
      </c>
      <c r="Q638" s="9">
        <v>61.701650000000001</v>
      </c>
      <c r="R638" s="23">
        <v>48.893509999999999</v>
      </c>
      <c r="S638" s="8">
        <v>1.6210800000000001</v>
      </c>
      <c r="T638" s="9">
        <v>0.98480999999999996</v>
      </c>
      <c r="U638" s="24">
        <v>0.36874000000000001</v>
      </c>
    </row>
    <row r="639" spans="1:21" ht="12" customHeight="1" x14ac:dyDescent="0.25">
      <c r="A639" s="5">
        <v>1411</v>
      </c>
      <c r="B639" s="19" t="s">
        <v>308</v>
      </c>
      <c r="C639" s="19" t="s">
        <v>17</v>
      </c>
      <c r="D639" s="5" t="s">
        <v>309</v>
      </c>
      <c r="E639" s="6">
        <v>366885.12539825001</v>
      </c>
      <c r="F639" s="6">
        <v>6548620.5139204003</v>
      </c>
      <c r="G639" s="7" t="str">
        <f>HYPERLINK("https://minkarta.lantmateriet.se/?e=366885,12539825&amp;n=6548620,5139204&amp;z=12&amp;profile=flygbildmedgranser&amp;background=2&amp;boundaries=true","Visa")</f>
        <v>Visa</v>
      </c>
      <c r="H639" s="5" t="s">
        <v>9</v>
      </c>
      <c r="I639" s="8">
        <v>42.718269999999997</v>
      </c>
      <c r="J639" s="9">
        <v>45.254530000000003</v>
      </c>
      <c r="K639" s="9">
        <v>46.823279999999997</v>
      </c>
      <c r="L639" s="14">
        <v>43.63409</v>
      </c>
      <c r="M639" s="9">
        <v>45.711060000000003</v>
      </c>
      <c r="N639" s="9">
        <v>47.328780000000002</v>
      </c>
      <c r="O639" s="14">
        <v>44.151260000000001</v>
      </c>
      <c r="P639" s="9">
        <v>45.742139999999999</v>
      </c>
      <c r="Q639" s="9">
        <v>47.358379999999997</v>
      </c>
      <c r="R639" s="23">
        <v>40.275379999999998</v>
      </c>
      <c r="S639" s="8">
        <v>0.51717000000000002</v>
      </c>
      <c r="T639" s="9">
        <v>3.108E-2</v>
      </c>
      <c r="U639" s="24">
        <v>2.9600000000000001E-2</v>
      </c>
    </row>
    <row r="640" spans="1:21" ht="12" customHeight="1" x14ac:dyDescent="0.25">
      <c r="A640" s="5">
        <v>1412</v>
      </c>
      <c r="B640" s="19" t="s">
        <v>308</v>
      </c>
      <c r="C640" s="19" t="s">
        <v>17</v>
      </c>
      <c r="D640" s="5" t="s">
        <v>309</v>
      </c>
      <c r="E640" s="6">
        <v>366879.90689739003</v>
      </c>
      <c r="F640" s="6">
        <v>6548622.2934210002</v>
      </c>
      <c r="G640" s="7" t="str">
        <f>HYPERLINK("https://minkarta.lantmateriet.se/?e=366879,90689739&amp;n=6548622,293421&amp;z=12&amp;profile=flygbildmedgranser&amp;background=2&amp;boundaries=true","Visa")</f>
        <v>Visa</v>
      </c>
      <c r="H640" s="5" t="s">
        <v>9</v>
      </c>
      <c r="I640" s="8">
        <v>42.949309999999997</v>
      </c>
      <c r="J640" s="9">
        <v>44.693770000000001</v>
      </c>
      <c r="K640" s="9">
        <v>46.058030000000002</v>
      </c>
      <c r="L640" s="14">
        <v>43.864089999999997</v>
      </c>
      <c r="M640" s="9">
        <v>44.945799999999998</v>
      </c>
      <c r="N640" s="9">
        <v>47.963450000000002</v>
      </c>
      <c r="O640" s="14">
        <v>44.306600000000003</v>
      </c>
      <c r="P640" s="9">
        <v>45.467930000000003</v>
      </c>
      <c r="Q640" s="9">
        <v>48.322510000000001</v>
      </c>
      <c r="R640" s="23">
        <v>36.266010000000001</v>
      </c>
      <c r="S640" s="8">
        <v>0.44251000000000001</v>
      </c>
      <c r="T640" s="9">
        <v>0.52212999999999998</v>
      </c>
      <c r="U640" s="24">
        <v>0.35905999999999999</v>
      </c>
    </row>
    <row r="641" spans="1:21" ht="12" customHeight="1" x14ac:dyDescent="0.25">
      <c r="A641" s="5">
        <v>1414</v>
      </c>
      <c r="B641" s="19" t="s">
        <v>308</v>
      </c>
      <c r="C641" s="19" t="s">
        <v>17</v>
      </c>
      <c r="D641" s="5" t="s">
        <v>309</v>
      </c>
      <c r="E641" s="6">
        <v>366876.32210285001</v>
      </c>
      <c r="F641" s="6">
        <v>6548616.1455841996</v>
      </c>
      <c r="G641" s="7" t="str">
        <f>HYPERLINK("https://minkarta.lantmateriet.se/?e=366876,32210285&amp;n=6548616,1455842&amp;z=12&amp;profile=flygbildmedgranser&amp;background=2&amp;boundaries=true","Visa")</f>
        <v>Visa</v>
      </c>
      <c r="H641" s="5" t="s">
        <v>11</v>
      </c>
      <c r="I641" s="8">
        <v>47.495080000000002</v>
      </c>
      <c r="J641" s="9">
        <v>57.737780000000001</v>
      </c>
      <c r="K641" s="9">
        <v>59.191740000000003</v>
      </c>
      <c r="L641" s="14">
        <v>48.426839999999999</v>
      </c>
      <c r="M641" s="9">
        <v>58.237270000000002</v>
      </c>
      <c r="N641" s="9">
        <v>61.707929999999998</v>
      </c>
      <c r="O641" s="14">
        <v>50.286709999999999</v>
      </c>
      <c r="P641" s="9">
        <v>59.2057</v>
      </c>
      <c r="Q641" s="9">
        <v>62.060279999999999</v>
      </c>
      <c r="R641" s="23">
        <v>48.269959999999998</v>
      </c>
      <c r="S641" s="8">
        <v>1.8598699999999999</v>
      </c>
      <c r="T641" s="9">
        <v>0.96843000000000001</v>
      </c>
      <c r="U641" s="24">
        <v>0.35235</v>
      </c>
    </row>
    <row r="642" spans="1:21" ht="12" customHeight="1" x14ac:dyDescent="0.25">
      <c r="A642" s="5">
        <v>1415</v>
      </c>
      <c r="B642" s="19" t="s">
        <v>308</v>
      </c>
      <c r="C642" s="19" t="s">
        <v>17</v>
      </c>
      <c r="D642" s="5" t="s">
        <v>309</v>
      </c>
      <c r="E642" s="6">
        <v>366876.95808275999</v>
      </c>
      <c r="F642" s="6">
        <v>6548610.9438995002</v>
      </c>
      <c r="G642" s="7" t="str">
        <f>HYPERLINK("https://minkarta.lantmateriet.se/?e=366876,95808276&amp;n=6548610,9438995&amp;z=12&amp;profile=flygbildmedgranser&amp;background=2&amp;boundaries=true","Visa")</f>
        <v>Visa</v>
      </c>
      <c r="H642" s="5" t="s">
        <v>10</v>
      </c>
      <c r="I642" s="8">
        <v>49.706200000000003</v>
      </c>
      <c r="J642" s="9">
        <v>60.164990000000003</v>
      </c>
      <c r="K642" s="9">
        <v>61.618960000000001</v>
      </c>
      <c r="L642" s="14">
        <v>50.647260000000003</v>
      </c>
      <c r="M642" s="9">
        <v>60.664490000000001</v>
      </c>
      <c r="N642" s="9">
        <v>64.135149999999996</v>
      </c>
      <c r="O642" s="14">
        <v>51.423050000000003</v>
      </c>
      <c r="P642" s="9">
        <v>61.712699999999998</v>
      </c>
      <c r="Q642" s="9">
        <v>64.567279999999997</v>
      </c>
      <c r="R642" s="23">
        <v>46.68486</v>
      </c>
      <c r="S642" s="8">
        <v>0.77578999999999998</v>
      </c>
      <c r="T642" s="9">
        <v>1.0482100000000001</v>
      </c>
      <c r="U642" s="24">
        <v>0.43213000000000001</v>
      </c>
    </row>
    <row r="643" spans="1:21" ht="12" customHeight="1" x14ac:dyDescent="0.25">
      <c r="A643" s="5">
        <v>1416</v>
      </c>
      <c r="B643" s="19" t="s">
        <v>308</v>
      </c>
      <c r="C643" s="19" t="s">
        <v>17</v>
      </c>
      <c r="D643" s="5" t="s">
        <v>309</v>
      </c>
      <c r="E643" s="6">
        <v>366876.46110139001</v>
      </c>
      <c r="F643" s="6">
        <v>6548606.4445850998</v>
      </c>
      <c r="G643" s="7" t="str">
        <f>HYPERLINK("https://minkarta.lantmateriet.se/?e=366876,46110139&amp;n=6548606,4445851&amp;z=12&amp;profile=flygbildmedgranser&amp;background=2&amp;boundaries=true","Visa")</f>
        <v>Visa</v>
      </c>
      <c r="H643" s="5" t="s">
        <v>11</v>
      </c>
      <c r="I643" s="8">
        <v>52.423569999999998</v>
      </c>
      <c r="J643" s="9">
        <v>59.417020000000001</v>
      </c>
      <c r="K643" s="9">
        <v>60.870980000000003</v>
      </c>
      <c r="L643" s="14">
        <v>53.382309999999997</v>
      </c>
      <c r="M643" s="9">
        <v>59.916519999999998</v>
      </c>
      <c r="N643" s="9">
        <v>63.387169999999998</v>
      </c>
      <c r="O643" s="14">
        <v>54.608969999999999</v>
      </c>
      <c r="P643" s="9">
        <v>60.976080000000003</v>
      </c>
      <c r="Q643" s="9">
        <v>63.830660000000002</v>
      </c>
      <c r="R643" s="23">
        <v>48.756279999999997</v>
      </c>
      <c r="S643" s="8">
        <v>1.2266600000000001</v>
      </c>
      <c r="T643" s="9">
        <v>1.0595600000000001</v>
      </c>
      <c r="U643" s="24">
        <v>0.44349</v>
      </c>
    </row>
    <row r="644" spans="1:21" ht="12" customHeight="1" x14ac:dyDescent="0.25">
      <c r="A644" s="5">
        <v>1417</v>
      </c>
      <c r="B644" s="19" t="s">
        <v>310</v>
      </c>
      <c r="C644" s="19" t="s">
        <v>17</v>
      </c>
      <c r="D644" s="5" t="s">
        <v>311</v>
      </c>
      <c r="E644" s="6">
        <v>366867.42010425002</v>
      </c>
      <c r="F644" s="6">
        <v>6548612.1530833002</v>
      </c>
      <c r="G644" s="7" t="str">
        <f>HYPERLINK("https://minkarta.lantmateriet.se/?e=366867,42010425&amp;n=6548612,1530833&amp;z=12&amp;profile=flygbildmedgranser&amp;background=2&amp;boundaries=true","Visa")</f>
        <v>Visa</v>
      </c>
      <c r="H644" s="5" t="s">
        <v>11</v>
      </c>
      <c r="I644" s="8">
        <v>52.576419999999999</v>
      </c>
      <c r="J644" s="9">
        <v>59.231990000000003</v>
      </c>
      <c r="K644" s="9">
        <v>60.685960000000001</v>
      </c>
      <c r="L644" s="14">
        <v>53.52807</v>
      </c>
      <c r="M644" s="9">
        <v>59.731490000000001</v>
      </c>
      <c r="N644" s="9">
        <v>63.202150000000003</v>
      </c>
      <c r="O644" s="14">
        <v>54.772190000000002</v>
      </c>
      <c r="P644" s="9">
        <v>60.712539999999997</v>
      </c>
      <c r="Q644" s="9">
        <v>63.567120000000003</v>
      </c>
      <c r="R644" s="23">
        <v>48.073900000000002</v>
      </c>
      <c r="S644" s="8">
        <v>1.2441199999999999</v>
      </c>
      <c r="T644" s="9">
        <v>0.98104999999999998</v>
      </c>
      <c r="U644" s="24">
        <v>0.36497000000000002</v>
      </c>
    </row>
    <row r="645" spans="1:21" ht="12" customHeight="1" x14ac:dyDescent="0.25">
      <c r="A645" s="5">
        <v>1419</v>
      </c>
      <c r="B645" s="19" t="s">
        <v>310</v>
      </c>
      <c r="C645" s="19" t="s">
        <v>17</v>
      </c>
      <c r="D645" s="5" t="s">
        <v>311</v>
      </c>
      <c r="E645" s="6">
        <v>366876.00639900001</v>
      </c>
      <c r="F645" s="6">
        <v>6548626.2659198996</v>
      </c>
      <c r="G645" s="7" t="str">
        <f>HYPERLINK("https://minkarta.lantmateriet.se/?e=366876,006399&amp;n=6548626,2659199&amp;z=12&amp;profile=flygbildmedgranser&amp;background=2&amp;boundaries=true","Visa")</f>
        <v>Visa</v>
      </c>
      <c r="H645" s="5" t="s">
        <v>9</v>
      </c>
      <c r="I645" s="8">
        <v>43.610340000000001</v>
      </c>
      <c r="J645" s="9">
        <v>45.130180000000003</v>
      </c>
      <c r="K645" s="9">
        <v>46.100580000000001</v>
      </c>
      <c r="L645" s="14">
        <v>44.512250000000002</v>
      </c>
      <c r="M645" s="9">
        <v>45.130180000000003</v>
      </c>
      <c r="N645" s="9">
        <v>46.831249999999997</v>
      </c>
      <c r="O645" s="14">
        <v>44.864319999999999</v>
      </c>
      <c r="P645" s="9">
        <v>45.123089999999998</v>
      </c>
      <c r="Q645" s="9">
        <v>47.058129999999998</v>
      </c>
      <c r="R645" s="23">
        <v>32.701920000000001</v>
      </c>
      <c r="S645" s="8">
        <v>0.35206999999999999</v>
      </c>
      <c r="T645" s="9">
        <v>-7.0899999999999999E-3</v>
      </c>
      <c r="U645" s="24">
        <v>0.22688</v>
      </c>
    </row>
    <row r="646" spans="1:21" ht="12" customHeight="1" x14ac:dyDescent="0.25">
      <c r="A646" s="5">
        <v>1420</v>
      </c>
      <c r="B646" s="19" t="s">
        <v>310</v>
      </c>
      <c r="C646" s="19" t="s">
        <v>17</v>
      </c>
      <c r="D646" s="5" t="s">
        <v>311</v>
      </c>
      <c r="E646" s="6">
        <v>366870.76939850999</v>
      </c>
      <c r="F646" s="6">
        <v>6548628.0804201998</v>
      </c>
      <c r="G646" s="7" t="str">
        <f>HYPERLINK("https://minkarta.lantmateriet.se/?e=366870,76939851&amp;n=6548628,0804202&amp;z=12&amp;profile=flygbildmedgranser&amp;background=2&amp;boundaries=true","Visa")</f>
        <v>Visa</v>
      </c>
      <c r="H646" s="5" t="s">
        <v>9</v>
      </c>
      <c r="I646" s="8">
        <v>43.672110000000004</v>
      </c>
      <c r="J646" s="9">
        <v>45.938940000000002</v>
      </c>
      <c r="K646" s="9">
        <v>47.507689999999997</v>
      </c>
      <c r="L646" s="14">
        <v>44.580269999999999</v>
      </c>
      <c r="M646" s="9">
        <v>46.39546</v>
      </c>
      <c r="N646" s="9">
        <v>48.013179999999998</v>
      </c>
      <c r="O646" s="14">
        <v>45.214480000000002</v>
      </c>
      <c r="P646" s="9">
        <v>46.426540000000003</v>
      </c>
      <c r="Q646" s="9">
        <v>48.042789999999997</v>
      </c>
      <c r="R646" s="23">
        <v>42.061639999999997</v>
      </c>
      <c r="S646" s="8">
        <v>0.63421000000000005</v>
      </c>
      <c r="T646" s="9">
        <v>3.108E-2</v>
      </c>
      <c r="U646" s="24">
        <v>2.9610000000000001E-2</v>
      </c>
    </row>
    <row r="647" spans="1:21" ht="12" customHeight="1" x14ac:dyDescent="0.25">
      <c r="A647" s="5">
        <v>1421</v>
      </c>
      <c r="B647" s="19" t="s">
        <v>310</v>
      </c>
      <c r="C647" s="19" t="s">
        <v>17</v>
      </c>
      <c r="D647" s="5" t="s">
        <v>311</v>
      </c>
      <c r="E647" s="6">
        <v>366866.31058224</v>
      </c>
      <c r="F647" s="6">
        <v>6548626.7253986998</v>
      </c>
      <c r="G647" s="7" t="str">
        <f>HYPERLINK("https://minkarta.lantmateriet.se/?e=366866,31058224&amp;n=6548626,7253987&amp;z=12&amp;profile=flygbildmedgranser&amp;background=2&amp;boundaries=true","Visa")</f>
        <v>Visa</v>
      </c>
      <c r="H647" s="5" t="s">
        <v>10</v>
      </c>
      <c r="I647" s="8">
        <v>48.349829999999997</v>
      </c>
      <c r="J647" s="9">
        <v>56.708269999999999</v>
      </c>
      <c r="K647" s="9">
        <v>56.945439999999998</v>
      </c>
      <c r="L647" s="14">
        <v>49.252510000000001</v>
      </c>
      <c r="M647" s="9">
        <v>56.708269999999999</v>
      </c>
      <c r="N647" s="9">
        <v>59.46163</v>
      </c>
      <c r="O647" s="14">
        <v>49.760620000000003</v>
      </c>
      <c r="P647" s="9">
        <v>56.972329999999999</v>
      </c>
      <c r="Q647" s="9">
        <v>59.826900000000002</v>
      </c>
      <c r="R647" s="23">
        <v>45.592329999999997</v>
      </c>
      <c r="S647" s="8">
        <v>0.50810999999999995</v>
      </c>
      <c r="T647" s="9">
        <v>0.26406000000000002</v>
      </c>
      <c r="U647" s="24">
        <v>0.36526999999999998</v>
      </c>
    </row>
    <row r="648" spans="1:21" ht="12" customHeight="1" x14ac:dyDescent="0.25">
      <c r="A648" s="5">
        <v>1422</v>
      </c>
      <c r="B648" s="19" t="s">
        <v>310</v>
      </c>
      <c r="C648" s="19" t="s">
        <v>17</v>
      </c>
      <c r="D648" s="5" t="s">
        <v>311</v>
      </c>
      <c r="E648" s="6">
        <v>366867.26810450002</v>
      </c>
      <c r="F648" s="6">
        <v>6548621.8980831001</v>
      </c>
      <c r="G648" s="7" t="str">
        <f>HYPERLINK("https://minkarta.lantmateriet.se/?e=366867,2681045&amp;n=6548621,8980831&amp;z=12&amp;profile=flygbildmedgranser&amp;background=2&amp;boundaries=true","Visa")</f>
        <v>Visa</v>
      </c>
      <c r="H648" s="5" t="s">
        <v>11</v>
      </c>
      <c r="I648" s="8">
        <v>49.543050000000001</v>
      </c>
      <c r="J648" s="9">
        <v>57.614840000000001</v>
      </c>
      <c r="K648" s="9">
        <v>59.068800000000003</v>
      </c>
      <c r="L648" s="14">
        <v>50.43824</v>
      </c>
      <c r="M648" s="9">
        <v>58.114330000000002</v>
      </c>
      <c r="N648" s="9">
        <v>61.584989999999998</v>
      </c>
      <c r="O648" s="14">
        <v>51.728749999999998</v>
      </c>
      <c r="P648" s="9">
        <v>58.968110000000003</v>
      </c>
      <c r="Q648" s="9">
        <v>61.822690000000001</v>
      </c>
      <c r="R648" s="23">
        <v>48.002409999999998</v>
      </c>
      <c r="S648" s="8">
        <v>1.29051</v>
      </c>
      <c r="T648" s="9">
        <v>0.85377999999999998</v>
      </c>
      <c r="U648" s="24">
        <v>0.23769999999999999</v>
      </c>
    </row>
    <row r="649" spans="1:21" ht="12" customHeight="1" x14ac:dyDescent="0.25">
      <c r="A649" s="5">
        <v>1423</v>
      </c>
      <c r="B649" s="19" t="s">
        <v>310</v>
      </c>
      <c r="C649" s="19" t="s">
        <v>17</v>
      </c>
      <c r="D649" s="5" t="s">
        <v>311</v>
      </c>
      <c r="E649" s="6">
        <v>366867.93708201998</v>
      </c>
      <c r="F649" s="6">
        <v>6548616.6573983999</v>
      </c>
      <c r="G649" s="7" t="str">
        <f>HYPERLINK("https://minkarta.lantmateriet.se/?e=366867,93708202&amp;n=6548616,6573984&amp;z=12&amp;profile=flygbildmedgranser&amp;background=2&amp;boundaries=true","Visa")</f>
        <v>Visa</v>
      </c>
      <c r="H649" s="5" t="s">
        <v>10</v>
      </c>
      <c r="I649" s="8">
        <v>49.696539999999999</v>
      </c>
      <c r="J649" s="9">
        <v>59.483240000000002</v>
      </c>
      <c r="K649" s="9">
        <v>60.93721</v>
      </c>
      <c r="L649" s="14">
        <v>50.63156</v>
      </c>
      <c r="M649" s="9">
        <v>59.98274</v>
      </c>
      <c r="N649" s="9">
        <v>63.453400000000002</v>
      </c>
      <c r="O649" s="14">
        <v>51.358469999999997</v>
      </c>
      <c r="P649" s="9">
        <v>60.967559999999999</v>
      </c>
      <c r="Q649" s="9">
        <v>63.822130000000001</v>
      </c>
      <c r="R649" s="23">
        <v>46.634039999999999</v>
      </c>
      <c r="S649" s="8">
        <v>0.72690999999999995</v>
      </c>
      <c r="T649" s="9">
        <v>0.98482000000000003</v>
      </c>
      <c r="U649" s="24">
        <v>0.36873</v>
      </c>
    </row>
    <row r="650" spans="1:21" ht="12" customHeight="1" x14ac:dyDescent="0.25">
      <c r="A650" s="5">
        <v>1424</v>
      </c>
      <c r="B650" s="19" t="s">
        <v>312</v>
      </c>
      <c r="C650" s="19" t="s">
        <v>17</v>
      </c>
      <c r="D650" s="5" t="s">
        <v>313</v>
      </c>
      <c r="E650" s="6">
        <v>366882.24640886998</v>
      </c>
      <c r="F650" s="6">
        <v>6548644.3875216004</v>
      </c>
      <c r="G650" s="7" t="str">
        <f>HYPERLINK("https://minkarta.lantmateriet.se/?e=366882,24640887&amp;n=6548644,3875216&amp;z=12&amp;profile=flygbildmedgranser&amp;background=2&amp;boundaries=true","Visa")</f>
        <v>Visa</v>
      </c>
      <c r="H650" s="5" t="s">
        <v>10</v>
      </c>
      <c r="I650" s="8">
        <v>46.338090000000001</v>
      </c>
      <c r="J650" s="9">
        <v>52.065390000000001</v>
      </c>
      <c r="K650" s="9">
        <v>52.838619999999999</v>
      </c>
      <c r="L650" s="14">
        <v>47.228160000000003</v>
      </c>
      <c r="M650" s="9">
        <v>51.607520000000001</v>
      </c>
      <c r="N650" s="9">
        <v>55.295569999999998</v>
      </c>
      <c r="O650" s="14">
        <v>47.530340000000002</v>
      </c>
      <c r="P650" s="9">
        <v>52.512889999999999</v>
      </c>
      <c r="Q650" s="9">
        <v>55.609070000000003</v>
      </c>
      <c r="R650" s="23">
        <v>34.615070000000003</v>
      </c>
      <c r="S650" s="8">
        <v>0.30218</v>
      </c>
      <c r="T650" s="9">
        <v>0.90537000000000001</v>
      </c>
      <c r="U650" s="24">
        <v>0.3135</v>
      </c>
    </row>
    <row r="651" spans="1:21" ht="12" customHeight="1" x14ac:dyDescent="0.25">
      <c r="A651" s="5">
        <v>1425</v>
      </c>
      <c r="B651" s="19" t="s">
        <v>312</v>
      </c>
      <c r="C651" s="19" t="s">
        <v>17</v>
      </c>
      <c r="D651" s="5" t="s">
        <v>313</v>
      </c>
      <c r="E651" s="6">
        <v>366882.66798094998</v>
      </c>
      <c r="F651" s="6">
        <v>6548637.6754104001</v>
      </c>
      <c r="G651" s="7" t="str">
        <f>HYPERLINK("https://minkarta.lantmateriet.se/?e=366882,66798095&amp;n=6548637,6754104&amp;z=12&amp;profile=flygbildmedgranser&amp;background=2&amp;boundaries=true","Visa")</f>
        <v>Visa</v>
      </c>
      <c r="H651" s="5" t="s">
        <v>11</v>
      </c>
      <c r="I651" s="8">
        <v>44.941380000000002</v>
      </c>
      <c r="J651" s="9">
        <v>52.815240000000003</v>
      </c>
      <c r="K651" s="9">
        <v>52.815240000000003</v>
      </c>
      <c r="L651" s="14">
        <v>45.8581</v>
      </c>
      <c r="M651" s="9">
        <v>52.815240000000003</v>
      </c>
      <c r="N651" s="9">
        <v>52.815240000000003</v>
      </c>
      <c r="O651" s="14">
        <v>46.604089999999999</v>
      </c>
      <c r="P651" s="9">
        <v>52.791089999999997</v>
      </c>
      <c r="Q651" s="9">
        <v>52.791089999999997</v>
      </c>
      <c r="R651" s="23">
        <v>43.635019999999997</v>
      </c>
      <c r="S651" s="8">
        <v>0.74599000000000004</v>
      </c>
      <c r="T651" s="9">
        <v>-2.4150000000000001E-2</v>
      </c>
      <c r="U651" s="24">
        <v>-2.4150000000000001E-2</v>
      </c>
    </row>
    <row r="652" spans="1:21" ht="12" customHeight="1" x14ac:dyDescent="0.25">
      <c r="A652" s="5">
        <v>1426</v>
      </c>
      <c r="B652" s="19" t="s">
        <v>312</v>
      </c>
      <c r="C652" s="19" t="s">
        <v>17</v>
      </c>
      <c r="D652" s="5" t="s">
        <v>313</v>
      </c>
      <c r="E652" s="6">
        <v>366889.26859277999</v>
      </c>
      <c r="F652" s="6">
        <v>6548636.3799820999</v>
      </c>
      <c r="G652" s="7" t="str">
        <f>HYPERLINK("https://minkarta.lantmateriet.se/?e=366889,26859278&amp;n=6548636,3799821&amp;z=12&amp;profile=flygbildmedgranser&amp;background=2&amp;boundaries=true","Visa")</f>
        <v>Visa</v>
      </c>
      <c r="H652" s="5" t="s">
        <v>8</v>
      </c>
      <c r="I652" s="8">
        <v>42.905670000000001</v>
      </c>
      <c r="J652" s="9">
        <v>47.529870000000003</v>
      </c>
      <c r="K652" s="9">
        <v>48.983829999999998</v>
      </c>
      <c r="L652" s="14">
        <v>43.84966</v>
      </c>
      <c r="M652" s="9">
        <v>48.02937</v>
      </c>
      <c r="N652" s="9">
        <v>51.500030000000002</v>
      </c>
      <c r="O652" s="14">
        <v>45.277999999999999</v>
      </c>
      <c r="P652" s="9">
        <v>49.42653</v>
      </c>
      <c r="Q652" s="9">
        <v>52.281100000000002</v>
      </c>
      <c r="R652" s="23">
        <v>45.215850000000003</v>
      </c>
      <c r="S652" s="8">
        <v>1.4283399999999999</v>
      </c>
      <c r="T652" s="9">
        <v>1.39716</v>
      </c>
      <c r="U652" s="24">
        <v>0.78107000000000004</v>
      </c>
    </row>
    <row r="653" spans="1:21" ht="12" customHeight="1" x14ac:dyDescent="0.25">
      <c r="A653" s="5">
        <v>1429</v>
      </c>
      <c r="B653" s="19" t="s">
        <v>314</v>
      </c>
      <c r="C653" s="19" t="s">
        <v>17</v>
      </c>
      <c r="D653" s="5" t="s">
        <v>315</v>
      </c>
      <c r="E653" s="6">
        <v>366895.3785929</v>
      </c>
      <c r="F653" s="6">
        <v>6548641.7359822001</v>
      </c>
      <c r="G653" s="7" t="str">
        <f>HYPERLINK("https://minkarta.lantmateriet.se/?e=366895,3785929&amp;n=6548641,7359822&amp;z=12&amp;profile=flygbildmedgranser&amp;background=2&amp;boundaries=true","Visa")</f>
        <v>Visa</v>
      </c>
      <c r="H653" s="5" t="s">
        <v>8</v>
      </c>
      <c r="I653" s="8">
        <v>42.387740000000001</v>
      </c>
      <c r="J653" s="9">
        <v>47.363379999999999</v>
      </c>
      <c r="K653" s="9">
        <v>48.817340000000002</v>
      </c>
      <c r="L653" s="14">
        <v>43.336039999999997</v>
      </c>
      <c r="M653" s="9">
        <v>47.862870000000001</v>
      </c>
      <c r="N653" s="9">
        <v>51.333530000000003</v>
      </c>
      <c r="O653" s="14">
        <v>44.821930000000002</v>
      </c>
      <c r="P653" s="9">
        <v>49.554600000000001</v>
      </c>
      <c r="Q653" s="9">
        <v>52.409179999999999</v>
      </c>
      <c r="R653" s="23">
        <v>45.329929999999997</v>
      </c>
      <c r="S653" s="8">
        <v>1.4858899999999999</v>
      </c>
      <c r="T653" s="9">
        <v>1.69173</v>
      </c>
      <c r="U653" s="24">
        <v>1.07565</v>
      </c>
    </row>
    <row r="654" spans="1:21" ht="12" customHeight="1" x14ac:dyDescent="0.25">
      <c r="A654" s="5">
        <v>1431</v>
      </c>
      <c r="B654" s="19" t="s">
        <v>314</v>
      </c>
      <c r="C654" s="19" t="s">
        <v>17</v>
      </c>
      <c r="D654" s="5" t="s">
        <v>315</v>
      </c>
      <c r="E654" s="6">
        <v>366888.35440910002</v>
      </c>
      <c r="F654" s="6">
        <v>6548649.7420218</v>
      </c>
      <c r="G654" s="7" t="str">
        <f>HYPERLINK("https://minkarta.lantmateriet.se/?e=366888,3544091&amp;n=6548649,7420218&amp;z=12&amp;profile=flygbildmedgranser&amp;background=2&amp;boundaries=true","Visa")</f>
        <v>Visa</v>
      </c>
      <c r="H654" s="5" t="s">
        <v>10</v>
      </c>
      <c r="I654" s="8">
        <v>43.759189999999997</v>
      </c>
      <c r="J654" s="9">
        <v>48.556959999999997</v>
      </c>
      <c r="K654" s="9">
        <v>49.635379999999998</v>
      </c>
      <c r="L654" s="14">
        <v>44.655909999999999</v>
      </c>
      <c r="M654" s="9">
        <v>48.630629999999996</v>
      </c>
      <c r="N654" s="9">
        <v>52.101289999999999</v>
      </c>
      <c r="O654" s="14">
        <v>44.852159999999998</v>
      </c>
      <c r="P654" s="9">
        <v>49.615450000000003</v>
      </c>
      <c r="Q654" s="9">
        <v>52.470030000000001</v>
      </c>
      <c r="R654" s="23">
        <v>31.821480000000001</v>
      </c>
      <c r="S654" s="8">
        <v>0.19625000000000001</v>
      </c>
      <c r="T654" s="9">
        <v>0.98482000000000003</v>
      </c>
      <c r="U654" s="24">
        <v>0.36874000000000001</v>
      </c>
    </row>
    <row r="655" spans="1:21" ht="12" customHeight="1" x14ac:dyDescent="0.25">
      <c r="A655" s="5">
        <v>1433</v>
      </c>
      <c r="B655" s="19" t="s">
        <v>316</v>
      </c>
      <c r="C655" s="19" t="s">
        <v>17</v>
      </c>
      <c r="D655" s="5" t="s">
        <v>317</v>
      </c>
      <c r="E655" s="6">
        <v>366901.4325929</v>
      </c>
      <c r="F655" s="6">
        <v>6548647.0429822002</v>
      </c>
      <c r="G655" s="7" t="str">
        <f>HYPERLINK("https://minkarta.lantmateriet.se/?e=366901,4325929&amp;n=6548647,0429822&amp;z=12&amp;profile=flygbildmedgranser&amp;background=2&amp;boundaries=true","Visa")</f>
        <v>Visa</v>
      </c>
      <c r="H655" s="5" t="s">
        <v>8</v>
      </c>
      <c r="I655" s="8">
        <v>42.445450000000001</v>
      </c>
      <c r="J655" s="9">
        <v>46.916229999999999</v>
      </c>
      <c r="K655" s="9">
        <v>48.370190000000001</v>
      </c>
      <c r="L655" s="14">
        <v>43.38794</v>
      </c>
      <c r="M655" s="9">
        <v>47.415730000000003</v>
      </c>
      <c r="N655" s="9">
        <v>50.886380000000003</v>
      </c>
      <c r="O655" s="14">
        <v>45.075220000000002</v>
      </c>
      <c r="P655" s="9">
        <v>49.076689999999999</v>
      </c>
      <c r="Q655" s="9">
        <v>51.931260000000002</v>
      </c>
      <c r="R655" s="23">
        <v>46.698790000000002</v>
      </c>
      <c r="S655" s="8">
        <v>1.6872799999999999</v>
      </c>
      <c r="T655" s="9">
        <v>1.66096</v>
      </c>
      <c r="U655" s="24">
        <v>1.04488</v>
      </c>
    </row>
    <row r="656" spans="1:21" ht="12" customHeight="1" x14ac:dyDescent="0.25">
      <c r="A656" s="5">
        <v>1435</v>
      </c>
      <c r="B656" s="19" t="s">
        <v>316</v>
      </c>
      <c r="C656" s="19" t="s">
        <v>17</v>
      </c>
      <c r="D656" s="5" t="s">
        <v>317</v>
      </c>
      <c r="E656" s="6">
        <v>366894.40790917998</v>
      </c>
      <c r="F656" s="6">
        <v>6548655.0485218</v>
      </c>
      <c r="G656" s="7" t="str">
        <f>HYPERLINK("https://minkarta.lantmateriet.se/?e=366894,40790918&amp;n=6548655,0485218&amp;z=12&amp;profile=flygbildmedgranser&amp;background=2&amp;boundaries=true","Visa")</f>
        <v>Visa</v>
      </c>
      <c r="H656" s="5" t="s">
        <v>10</v>
      </c>
      <c r="I656" s="8">
        <v>43.611640000000001</v>
      </c>
      <c r="J656" s="9">
        <v>47.949919999999999</v>
      </c>
      <c r="K656" s="9">
        <v>49.36833</v>
      </c>
      <c r="L656" s="14">
        <v>44.508459999999999</v>
      </c>
      <c r="M656" s="9">
        <v>47.949919999999999</v>
      </c>
      <c r="N656" s="9">
        <v>50.117759999999997</v>
      </c>
      <c r="O656" s="14">
        <v>44.572769999999998</v>
      </c>
      <c r="P656" s="9">
        <v>47.949919999999999</v>
      </c>
      <c r="Q656" s="9">
        <v>50.160139999999998</v>
      </c>
      <c r="R656" s="23">
        <v>30.435130000000001</v>
      </c>
      <c r="S656" s="8">
        <v>6.4310000000000006E-2</v>
      </c>
      <c r="T656" s="9">
        <v>0</v>
      </c>
      <c r="U656" s="24">
        <v>4.2380000000000001E-2</v>
      </c>
    </row>
    <row r="657" spans="1:21" ht="12" customHeight="1" x14ac:dyDescent="0.25">
      <c r="A657" s="5">
        <v>1437</v>
      </c>
      <c r="B657" s="19" t="s">
        <v>318</v>
      </c>
      <c r="C657" s="19" t="s">
        <v>17</v>
      </c>
      <c r="D657" s="5" t="s">
        <v>319</v>
      </c>
      <c r="E657" s="6">
        <v>366908.58659293002</v>
      </c>
      <c r="F657" s="6">
        <v>6548651.1204823004</v>
      </c>
      <c r="G657" s="7" t="str">
        <f>HYPERLINK("https://minkarta.lantmateriet.se/?e=366908,58659293&amp;n=6548651,1204823&amp;z=12&amp;profile=flygbildmedgranser&amp;background=2&amp;boundaries=true","Visa")</f>
        <v>Visa</v>
      </c>
      <c r="H657" s="5" t="s">
        <v>8</v>
      </c>
      <c r="I657" s="8">
        <v>42.064950000000003</v>
      </c>
      <c r="J657" s="9">
        <v>46.585509999999999</v>
      </c>
      <c r="K657" s="9">
        <v>48.039470000000001</v>
      </c>
      <c r="L657" s="14">
        <v>43.024039999999999</v>
      </c>
      <c r="M657" s="9">
        <v>47.085009999999997</v>
      </c>
      <c r="N657" s="9">
        <v>50.555660000000003</v>
      </c>
      <c r="O657" s="14">
        <v>44.466769999999997</v>
      </c>
      <c r="P657" s="9">
        <v>48.716850000000001</v>
      </c>
      <c r="Q657" s="9">
        <v>51.571429999999999</v>
      </c>
      <c r="R657" s="23">
        <v>45.1218</v>
      </c>
      <c r="S657" s="8">
        <v>1.4427300000000001</v>
      </c>
      <c r="T657" s="9">
        <v>1.63184</v>
      </c>
      <c r="U657" s="24">
        <v>1.0157700000000001</v>
      </c>
    </row>
    <row r="658" spans="1:21" ht="12" customHeight="1" x14ac:dyDescent="0.25">
      <c r="A658" s="5">
        <v>1439</v>
      </c>
      <c r="B658" s="19" t="s">
        <v>318</v>
      </c>
      <c r="C658" s="19" t="s">
        <v>17</v>
      </c>
      <c r="D658" s="5" t="s">
        <v>319</v>
      </c>
      <c r="E658" s="6">
        <v>366901.56840872997</v>
      </c>
      <c r="F658" s="6">
        <v>6548659.1060213996</v>
      </c>
      <c r="G658" s="7" t="str">
        <f>HYPERLINK("https://minkarta.lantmateriet.se/?e=366901,56840873&amp;n=6548659,1060214&amp;z=12&amp;profile=flygbildmedgranser&amp;background=2&amp;boundaries=true","Visa")</f>
        <v>Visa</v>
      </c>
      <c r="H658" s="5" t="s">
        <v>10</v>
      </c>
      <c r="I658" s="8">
        <v>41.575490000000002</v>
      </c>
      <c r="J658" s="9">
        <v>44.911990000000003</v>
      </c>
      <c r="K658" s="9">
        <v>46.480739999999997</v>
      </c>
      <c r="L658" s="14">
        <v>42.484090000000002</v>
      </c>
      <c r="M658" s="9">
        <v>45.368519999999997</v>
      </c>
      <c r="N658" s="9">
        <v>46.986240000000002</v>
      </c>
      <c r="O658" s="14">
        <v>42.42042</v>
      </c>
      <c r="P658" s="9">
        <v>45.3996</v>
      </c>
      <c r="Q658" s="9">
        <v>47.01585</v>
      </c>
      <c r="R658" s="23">
        <v>28.51999</v>
      </c>
      <c r="S658" s="8">
        <v>-6.3670000000000004E-2</v>
      </c>
      <c r="T658" s="9">
        <v>3.108E-2</v>
      </c>
      <c r="U658" s="24">
        <v>2.9610000000000001E-2</v>
      </c>
    </row>
    <row r="659" spans="1:21" ht="12" customHeight="1" x14ac:dyDescent="0.25">
      <c r="A659" s="5">
        <v>1441</v>
      </c>
      <c r="B659" s="19" t="s">
        <v>320</v>
      </c>
      <c r="C659" s="19" t="s">
        <v>17</v>
      </c>
      <c r="D659" s="5" t="s">
        <v>321</v>
      </c>
      <c r="E659" s="6">
        <v>366914.62809282</v>
      </c>
      <c r="F659" s="6">
        <v>6548656.4164821999</v>
      </c>
      <c r="G659" s="7" t="str">
        <f>HYPERLINK("https://minkarta.lantmateriet.se/?e=366914,62809282&amp;n=6548656,4164822&amp;z=12&amp;profile=flygbildmedgranser&amp;background=2&amp;boundaries=true","Visa")</f>
        <v>Visa</v>
      </c>
      <c r="H659" s="5" t="s">
        <v>8</v>
      </c>
      <c r="I659" s="8">
        <v>41.963270000000001</v>
      </c>
      <c r="J659" s="9">
        <v>47.463470000000001</v>
      </c>
      <c r="K659" s="9">
        <v>48.917439999999999</v>
      </c>
      <c r="L659" s="14">
        <v>42.90784</v>
      </c>
      <c r="M659" s="9">
        <v>47.962969999999999</v>
      </c>
      <c r="N659" s="9">
        <v>51.433630000000001</v>
      </c>
      <c r="O659" s="14">
        <v>44.288930000000001</v>
      </c>
      <c r="P659" s="9">
        <v>49.125869999999999</v>
      </c>
      <c r="Q659" s="9">
        <v>51.980440000000002</v>
      </c>
      <c r="R659" s="23">
        <v>44.15605</v>
      </c>
      <c r="S659" s="8">
        <v>1.3810899999999999</v>
      </c>
      <c r="T659" s="9">
        <v>1.1629</v>
      </c>
      <c r="U659" s="24">
        <v>0.54681000000000002</v>
      </c>
    </row>
    <row r="660" spans="1:21" ht="12" customHeight="1" x14ac:dyDescent="0.25">
      <c r="A660" s="5">
        <v>1443</v>
      </c>
      <c r="B660" s="19" t="s">
        <v>320</v>
      </c>
      <c r="C660" s="19" t="s">
        <v>17</v>
      </c>
      <c r="D660" s="5" t="s">
        <v>321</v>
      </c>
      <c r="E660" s="6">
        <v>366907.61590848002</v>
      </c>
      <c r="F660" s="6">
        <v>6548664.4080212004</v>
      </c>
      <c r="G660" s="7" t="str">
        <f>HYPERLINK("https://minkarta.lantmateriet.se/?e=366907,61590848&amp;n=6548664,4080212&amp;z=12&amp;profile=flygbildmedgranser&amp;background=2&amp;boundaries=true","Visa")</f>
        <v>Visa</v>
      </c>
      <c r="H660" s="5" t="s">
        <v>10</v>
      </c>
      <c r="I660" s="8">
        <v>42.604190000000003</v>
      </c>
      <c r="J660" s="9">
        <v>46.42765</v>
      </c>
      <c r="K660" s="9">
        <v>47.996400000000001</v>
      </c>
      <c r="L660" s="14">
        <v>43.510730000000002</v>
      </c>
      <c r="M660" s="9">
        <v>46.884180000000001</v>
      </c>
      <c r="N660" s="9">
        <v>48.501899999999999</v>
      </c>
      <c r="O660" s="14">
        <v>43.553370000000001</v>
      </c>
      <c r="P660" s="9">
        <v>46.915260000000004</v>
      </c>
      <c r="Q660" s="9">
        <v>48.531509999999997</v>
      </c>
      <c r="R660" s="23">
        <v>28.8535</v>
      </c>
      <c r="S660" s="8">
        <v>4.2639999999999997E-2</v>
      </c>
      <c r="T660" s="9">
        <v>3.108E-2</v>
      </c>
      <c r="U660" s="24">
        <v>2.9610000000000001E-2</v>
      </c>
    </row>
    <row r="661" spans="1:21" ht="12" customHeight="1" x14ac:dyDescent="0.25">
      <c r="A661" s="5">
        <v>1445</v>
      </c>
      <c r="B661" s="19" t="s">
        <v>322</v>
      </c>
      <c r="C661" s="19" t="s">
        <v>17</v>
      </c>
      <c r="D661" s="5" t="s">
        <v>323</v>
      </c>
      <c r="E661" s="6">
        <v>366920.68209229002</v>
      </c>
      <c r="F661" s="6">
        <v>6548661.7229816997</v>
      </c>
      <c r="G661" s="7" t="str">
        <f>HYPERLINK("https://minkarta.lantmateriet.se/?e=366920,68209229&amp;n=6548661,7229817&amp;z=12&amp;profile=flygbildmedgranser&amp;background=2&amp;boundaries=true","Visa")</f>
        <v>Visa</v>
      </c>
      <c r="H661" s="5" t="s">
        <v>8</v>
      </c>
      <c r="I661" s="8">
        <v>41.868929999999999</v>
      </c>
      <c r="J661" s="9">
        <v>46.146340000000002</v>
      </c>
      <c r="K661" s="9">
        <v>47.60031</v>
      </c>
      <c r="L661" s="14">
        <v>42.813740000000003</v>
      </c>
      <c r="M661" s="9">
        <v>46.650129999999997</v>
      </c>
      <c r="N661" s="9">
        <v>50.12079</v>
      </c>
      <c r="O661" s="14">
        <v>44.384950000000003</v>
      </c>
      <c r="P661" s="9">
        <v>48.312240000000003</v>
      </c>
      <c r="Q661" s="9">
        <v>51.166820000000001</v>
      </c>
      <c r="R661" s="23">
        <v>45.705289999999998</v>
      </c>
      <c r="S661" s="8">
        <v>1.57121</v>
      </c>
      <c r="T661" s="9">
        <v>1.66211</v>
      </c>
      <c r="U661" s="24">
        <v>1.04603</v>
      </c>
    </row>
    <row r="662" spans="1:21" ht="12" customHeight="1" x14ac:dyDescent="0.25">
      <c r="A662" s="5">
        <v>1447</v>
      </c>
      <c r="B662" s="19" t="s">
        <v>322</v>
      </c>
      <c r="C662" s="19" t="s">
        <v>17</v>
      </c>
      <c r="D662" s="5" t="s">
        <v>323</v>
      </c>
      <c r="E662" s="6">
        <v>366913.66940840002</v>
      </c>
      <c r="F662" s="6">
        <v>6548669.7155211996</v>
      </c>
      <c r="G662" s="7" t="str">
        <f>HYPERLINK("https://minkarta.lantmateriet.se/?e=366913,6694084&amp;n=6548669,7155212&amp;z=12&amp;profile=flygbildmedgranser&amp;background=2&amp;boundaries=true","Visa")</f>
        <v>Visa</v>
      </c>
      <c r="H662" s="5" t="s">
        <v>10</v>
      </c>
      <c r="I662" s="8">
        <v>42.988399999999999</v>
      </c>
      <c r="J662" s="9">
        <v>46.962539999999997</v>
      </c>
      <c r="K662" s="9">
        <v>48.531289999999998</v>
      </c>
      <c r="L662" s="14">
        <v>43.894970000000001</v>
      </c>
      <c r="M662" s="9">
        <v>47.419069999999998</v>
      </c>
      <c r="N662" s="9">
        <v>49.036790000000003</v>
      </c>
      <c r="O662" s="14">
        <v>44.01643</v>
      </c>
      <c r="P662" s="9">
        <v>47.450150000000001</v>
      </c>
      <c r="Q662" s="9">
        <v>49.066389999999998</v>
      </c>
      <c r="R662" s="23">
        <v>27.895510000000002</v>
      </c>
      <c r="S662" s="8">
        <v>0.12146</v>
      </c>
      <c r="T662" s="9">
        <v>3.108E-2</v>
      </c>
      <c r="U662" s="24">
        <v>2.9600000000000001E-2</v>
      </c>
    </row>
    <row r="663" spans="1:21" ht="12" customHeight="1" x14ac:dyDescent="0.25">
      <c r="A663" s="5">
        <v>1449</v>
      </c>
      <c r="B663" s="19" t="s">
        <v>324</v>
      </c>
      <c r="C663" s="19" t="s">
        <v>17</v>
      </c>
      <c r="D663" s="5" t="s">
        <v>325</v>
      </c>
      <c r="E663" s="6">
        <v>366927.76209267002</v>
      </c>
      <c r="F663" s="6">
        <v>6548665.8879819997</v>
      </c>
      <c r="G663" s="7" t="str">
        <f>HYPERLINK("https://minkarta.lantmateriet.se/?e=366927,76209267&amp;n=6548665,887982&amp;z=12&amp;profile=flygbildmedgranser&amp;background=2&amp;boundaries=true","Visa")</f>
        <v>Visa</v>
      </c>
      <c r="H663" s="5" t="s">
        <v>8</v>
      </c>
      <c r="I663" s="8">
        <v>41.728009999999998</v>
      </c>
      <c r="J663" s="9">
        <v>46.373089999999998</v>
      </c>
      <c r="K663" s="9">
        <v>47.82705</v>
      </c>
      <c r="L663" s="14">
        <v>42.646180000000001</v>
      </c>
      <c r="M663" s="9">
        <v>46.872579999999999</v>
      </c>
      <c r="N663" s="9">
        <v>50.343240000000002</v>
      </c>
      <c r="O663" s="14">
        <v>43.90305</v>
      </c>
      <c r="P663" s="9">
        <v>47.860680000000002</v>
      </c>
      <c r="Q663" s="9">
        <v>50.715249999999997</v>
      </c>
      <c r="R663" s="23">
        <v>44.655119999999997</v>
      </c>
      <c r="S663" s="8">
        <v>1.2568699999999999</v>
      </c>
      <c r="T663" s="9">
        <v>0.98809999999999998</v>
      </c>
      <c r="U663" s="24">
        <v>0.37201000000000001</v>
      </c>
    </row>
    <row r="664" spans="1:21" ht="12" customHeight="1" x14ac:dyDescent="0.25">
      <c r="A664" s="5">
        <v>1451</v>
      </c>
      <c r="B664" s="19" t="s">
        <v>324</v>
      </c>
      <c r="C664" s="19" t="s">
        <v>17</v>
      </c>
      <c r="D664" s="5" t="s">
        <v>325</v>
      </c>
      <c r="E664" s="6">
        <v>366920.72190841998</v>
      </c>
      <c r="F664" s="6">
        <v>6548673.9330211999</v>
      </c>
      <c r="G664" s="7" t="str">
        <f>HYPERLINK("https://minkarta.lantmateriet.se/?e=366920,72190842&amp;n=6548673,9330212&amp;z=12&amp;profile=flygbildmedgranser&amp;background=2&amp;boundaries=true","Visa")</f>
        <v>Visa</v>
      </c>
      <c r="H664" s="5" t="s">
        <v>10</v>
      </c>
      <c r="I664" s="8">
        <v>40.974420000000002</v>
      </c>
      <c r="J664" s="9">
        <v>45.422580000000004</v>
      </c>
      <c r="K664" s="9">
        <v>46.991329999999998</v>
      </c>
      <c r="L664" s="14">
        <v>41.885219999999997</v>
      </c>
      <c r="M664" s="9">
        <v>45.879100000000001</v>
      </c>
      <c r="N664" s="9">
        <v>47.496830000000003</v>
      </c>
      <c r="O664" s="14">
        <v>41.998309999999996</v>
      </c>
      <c r="P664" s="9">
        <v>45.91019</v>
      </c>
      <c r="Q664" s="9">
        <v>47.526429999999998</v>
      </c>
      <c r="R664" s="23">
        <v>29.52148</v>
      </c>
      <c r="S664" s="8">
        <v>0.11309</v>
      </c>
      <c r="T664" s="9">
        <v>3.109E-2</v>
      </c>
      <c r="U664" s="24">
        <v>2.9600000000000001E-2</v>
      </c>
    </row>
    <row r="665" spans="1:21" ht="12" customHeight="1" x14ac:dyDescent="0.25">
      <c r="A665" s="5">
        <v>1453</v>
      </c>
      <c r="B665" s="19" t="s">
        <v>326</v>
      </c>
      <c r="C665" s="19" t="s">
        <v>17</v>
      </c>
      <c r="D665" s="5" t="s">
        <v>327</v>
      </c>
      <c r="E665" s="6">
        <v>366933.80209352</v>
      </c>
      <c r="F665" s="6">
        <v>6548671.1829827996</v>
      </c>
      <c r="G665" s="7" t="str">
        <f>HYPERLINK("https://minkarta.lantmateriet.se/?e=366933,80209352&amp;n=6548671,1829828&amp;z=12&amp;profile=flygbildmedgranser&amp;background=2&amp;boundaries=true","Visa")</f>
        <v>Visa</v>
      </c>
      <c r="H665" s="5" t="s">
        <v>8</v>
      </c>
      <c r="I665" s="8">
        <v>41.723680000000002</v>
      </c>
      <c r="J665" s="9">
        <v>46.447049999999997</v>
      </c>
      <c r="K665" s="9">
        <v>47.901009999999999</v>
      </c>
      <c r="L665" s="14">
        <v>42.662520000000001</v>
      </c>
      <c r="M665" s="9">
        <v>46.946539999999999</v>
      </c>
      <c r="N665" s="9">
        <v>50.417200000000001</v>
      </c>
      <c r="O665" s="14">
        <v>43.845829999999999</v>
      </c>
      <c r="P665" s="9">
        <v>47.931359999999998</v>
      </c>
      <c r="Q665" s="9">
        <v>50.785939999999997</v>
      </c>
      <c r="R665" s="23">
        <v>43.789940000000001</v>
      </c>
      <c r="S665" s="8">
        <v>1.1833100000000001</v>
      </c>
      <c r="T665" s="9">
        <v>0.98482000000000003</v>
      </c>
      <c r="U665" s="24">
        <v>0.36874000000000001</v>
      </c>
    </row>
    <row r="666" spans="1:21" ht="12" customHeight="1" x14ac:dyDescent="0.25">
      <c r="A666" s="5">
        <v>1455</v>
      </c>
      <c r="B666" s="19" t="s">
        <v>326</v>
      </c>
      <c r="C666" s="19" t="s">
        <v>17</v>
      </c>
      <c r="D666" s="5" t="s">
        <v>327</v>
      </c>
      <c r="E666" s="6">
        <v>366926.75140910002</v>
      </c>
      <c r="F666" s="6">
        <v>6548679.2190218</v>
      </c>
      <c r="G666" s="7" t="str">
        <f>HYPERLINK("https://minkarta.lantmateriet.se/?e=366926,7514091&amp;n=6548679,2190218&amp;z=12&amp;profile=flygbildmedgranser&amp;background=2&amp;boundaries=true","Visa")</f>
        <v>Visa</v>
      </c>
      <c r="H666" s="5" t="s">
        <v>10</v>
      </c>
      <c r="I666" s="8">
        <v>41.747639999999997</v>
      </c>
      <c r="J666" s="9">
        <v>45.215229999999998</v>
      </c>
      <c r="K666" s="9">
        <v>46.783969999999997</v>
      </c>
      <c r="L666" s="14">
        <v>42.639270000000003</v>
      </c>
      <c r="M666" s="9">
        <v>45.671750000000003</v>
      </c>
      <c r="N666" s="9">
        <v>47.289470000000001</v>
      </c>
      <c r="O666" s="14">
        <v>42.775390000000002</v>
      </c>
      <c r="P666" s="9">
        <v>45.702840000000002</v>
      </c>
      <c r="Q666" s="9">
        <v>47.329689999999999</v>
      </c>
      <c r="R666" s="23">
        <v>31.468669999999999</v>
      </c>
      <c r="S666" s="8">
        <v>0.13611999999999999</v>
      </c>
      <c r="T666" s="9">
        <v>3.109E-2</v>
      </c>
      <c r="U666" s="24">
        <v>4.0219999999999999E-2</v>
      </c>
    </row>
    <row r="667" spans="1:21" ht="12" customHeight="1" x14ac:dyDescent="0.25">
      <c r="A667" s="5">
        <v>1457</v>
      </c>
      <c r="B667" s="19" t="s">
        <v>328</v>
      </c>
      <c r="C667" s="19" t="s">
        <v>17</v>
      </c>
      <c r="D667" s="5" t="s">
        <v>329</v>
      </c>
      <c r="E667" s="6">
        <v>366939.83859346999</v>
      </c>
      <c r="F667" s="6">
        <v>6548676.4754827004</v>
      </c>
      <c r="G667" s="7" t="str">
        <f>HYPERLINK("https://minkarta.lantmateriet.se/?e=366939,83859347&amp;n=6548676,4754827&amp;z=12&amp;profile=flygbildmedgranser&amp;background=2&amp;boundaries=true","Visa")</f>
        <v>Visa</v>
      </c>
      <c r="H667" s="5" t="s">
        <v>8</v>
      </c>
      <c r="I667" s="8">
        <v>41.525799999999997</v>
      </c>
      <c r="J667" s="9">
        <v>46.740090000000002</v>
      </c>
      <c r="K667" s="9">
        <v>48.194049999999997</v>
      </c>
      <c r="L667" s="14">
        <v>42.469110000000001</v>
      </c>
      <c r="M667" s="9">
        <v>47.223909999999997</v>
      </c>
      <c r="N667" s="9">
        <v>50.694569999999999</v>
      </c>
      <c r="O667" s="14">
        <v>43.614710000000002</v>
      </c>
      <c r="P667" s="9">
        <v>48.15925</v>
      </c>
      <c r="Q667" s="9">
        <v>51.013829999999999</v>
      </c>
      <c r="R667" s="23">
        <v>43.370989999999999</v>
      </c>
      <c r="S667" s="8">
        <v>1.1456</v>
      </c>
      <c r="T667" s="9">
        <v>0.93533999999999995</v>
      </c>
      <c r="U667" s="24">
        <v>0.31925999999999999</v>
      </c>
    </row>
    <row r="668" spans="1:21" ht="12" customHeight="1" x14ac:dyDescent="0.25">
      <c r="A668" s="5">
        <v>1458</v>
      </c>
      <c r="B668" s="19" t="s">
        <v>328</v>
      </c>
      <c r="C668" s="19" t="s">
        <v>17</v>
      </c>
      <c r="D668" s="5" t="s">
        <v>329</v>
      </c>
      <c r="E668" s="6">
        <v>366939.33302119002</v>
      </c>
      <c r="F668" s="6">
        <v>6548683.1405934002</v>
      </c>
      <c r="G668" s="7" t="str">
        <f>HYPERLINK("https://minkarta.lantmateriet.se/?e=366939,33302119&amp;n=6548683,1405934&amp;z=12&amp;profile=flygbildmedgranser&amp;background=2&amp;boundaries=true","Visa")</f>
        <v>Visa</v>
      </c>
      <c r="H668" s="5" t="s">
        <v>9</v>
      </c>
      <c r="I668" s="8">
        <v>41.291550000000001</v>
      </c>
      <c r="J668" s="9">
        <v>44.92512</v>
      </c>
      <c r="K668" s="9">
        <v>46.379089999999998</v>
      </c>
      <c r="L668" s="14">
        <v>42.217089999999999</v>
      </c>
      <c r="M668" s="9">
        <v>45.424619999999997</v>
      </c>
      <c r="N668" s="9">
        <v>48.89528</v>
      </c>
      <c r="O668" s="14">
        <v>42.54627</v>
      </c>
      <c r="P668" s="9">
        <v>46.456420000000001</v>
      </c>
      <c r="Q668" s="9">
        <v>49.310989999999997</v>
      </c>
      <c r="R668" s="23">
        <v>32.610039999999998</v>
      </c>
      <c r="S668" s="8">
        <v>0.32917999999999997</v>
      </c>
      <c r="T668" s="9">
        <v>1.0318000000000001</v>
      </c>
      <c r="U668" s="24">
        <v>0.41571000000000002</v>
      </c>
    </row>
    <row r="669" spans="1:21" ht="12" customHeight="1" x14ac:dyDescent="0.25">
      <c r="A669" s="5">
        <v>1459</v>
      </c>
      <c r="B669" s="19" t="s">
        <v>328</v>
      </c>
      <c r="C669" s="19" t="s">
        <v>17</v>
      </c>
      <c r="D669" s="5" t="s">
        <v>329</v>
      </c>
      <c r="E669" s="6">
        <v>366932.79040889</v>
      </c>
      <c r="F669" s="6">
        <v>6548684.5130216004</v>
      </c>
      <c r="G669" s="7" t="str">
        <f>HYPERLINK("https://minkarta.lantmateriet.se/?e=366932,79040889&amp;n=6548684,5130216&amp;z=12&amp;profile=flygbildmedgranser&amp;background=2&amp;boundaries=true","Visa")</f>
        <v>Visa</v>
      </c>
      <c r="H669" s="5" t="s">
        <v>10</v>
      </c>
      <c r="I669" s="8">
        <v>41.782739999999997</v>
      </c>
      <c r="J669" s="9">
        <v>45.0976</v>
      </c>
      <c r="K669" s="9">
        <v>46.666350000000001</v>
      </c>
      <c r="L669" s="14">
        <v>42.68477</v>
      </c>
      <c r="M669" s="9">
        <v>45.554130000000001</v>
      </c>
      <c r="N669" s="9">
        <v>47.171849999999999</v>
      </c>
      <c r="O669" s="14">
        <v>42.89837</v>
      </c>
      <c r="P669" s="9">
        <v>45.585209999999996</v>
      </c>
      <c r="Q669" s="9">
        <v>47.201450000000001</v>
      </c>
      <c r="R669" s="23">
        <v>32.063589999999998</v>
      </c>
      <c r="S669" s="8">
        <v>0.21360000000000001</v>
      </c>
      <c r="T669" s="9">
        <v>3.108E-2</v>
      </c>
      <c r="U669" s="24">
        <v>2.9600000000000001E-2</v>
      </c>
    </row>
    <row r="670" spans="1:21" ht="12" customHeight="1" x14ac:dyDescent="0.25">
      <c r="A670" s="5">
        <v>1645</v>
      </c>
      <c r="B670" s="19" t="s">
        <v>330</v>
      </c>
      <c r="C670" s="19" t="s">
        <v>12</v>
      </c>
      <c r="D670" s="5" t="s">
        <v>331</v>
      </c>
      <c r="E670" s="6">
        <v>367153.73695975001</v>
      </c>
      <c r="F670" s="6">
        <v>6548117.9569475995</v>
      </c>
      <c r="G670" s="7" t="str">
        <f>HYPERLINK("https://minkarta.lantmateriet.se/?e=367153,73695975&amp;n=6548117,9569476&amp;z=12&amp;profile=flygbildmedgranser&amp;background=2&amp;boundaries=true","Visa")</f>
        <v>Visa</v>
      </c>
      <c r="H670" s="5" t="s">
        <v>14</v>
      </c>
      <c r="I670" s="8">
        <v>38.01249</v>
      </c>
      <c r="J670" s="9">
        <v>47.268169999999998</v>
      </c>
      <c r="K670" s="9">
        <v>48.796750000000003</v>
      </c>
      <c r="L670" s="14">
        <v>38.933819999999997</v>
      </c>
      <c r="M670" s="9">
        <v>47.697270000000003</v>
      </c>
      <c r="N670" s="9">
        <v>49.315240000000003</v>
      </c>
      <c r="O670" s="14">
        <v>39.254519999999999</v>
      </c>
      <c r="P670" s="9">
        <v>47.725720000000003</v>
      </c>
      <c r="Q670" s="9">
        <v>49.344560000000001</v>
      </c>
      <c r="R670" s="23">
        <v>33.342120000000001</v>
      </c>
      <c r="S670" s="8">
        <v>0.32069999999999999</v>
      </c>
      <c r="T670" s="9">
        <v>2.845E-2</v>
      </c>
      <c r="U670" s="24">
        <v>2.9319999999999999E-2</v>
      </c>
    </row>
    <row r="671" spans="1:21" ht="12" customHeight="1" x14ac:dyDescent="0.25">
      <c r="A671" s="5">
        <v>1646</v>
      </c>
      <c r="B671" s="19" t="s">
        <v>330</v>
      </c>
      <c r="C671" s="19" t="s">
        <v>12</v>
      </c>
      <c r="D671" s="5" t="s">
        <v>331</v>
      </c>
      <c r="E671" s="6">
        <v>367147.45305536001</v>
      </c>
      <c r="F671" s="6">
        <v>6548111.8429607004</v>
      </c>
      <c r="G671" s="7" t="str">
        <f>HYPERLINK("https://minkarta.lantmateriet.se/?e=367147,45305536&amp;n=6548111,8429607&amp;z=12&amp;profile=flygbildmedgranser&amp;background=2&amp;boundaries=true","Visa")</f>
        <v>Visa</v>
      </c>
      <c r="H671" s="5" t="s">
        <v>16</v>
      </c>
      <c r="I671" s="8">
        <v>40.898949999999999</v>
      </c>
      <c r="J671" s="9">
        <v>49.564680000000003</v>
      </c>
      <c r="K671" s="9">
        <v>51.093260000000001</v>
      </c>
      <c r="L671" s="14">
        <v>41.839619999999996</v>
      </c>
      <c r="M671" s="9">
        <v>49.993789999999997</v>
      </c>
      <c r="N671" s="9">
        <v>51.611759999999997</v>
      </c>
      <c r="O671" s="14">
        <v>42.037759999999999</v>
      </c>
      <c r="P671" s="9">
        <v>50.022239999999996</v>
      </c>
      <c r="Q671" s="9">
        <v>51.641080000000002</v>
      </c>
      <c r="R671" s="23">
        <v>34.003100000000003</v>
      </c>
      <c r="S671" s="8">
        <v>0.19814000000000001</v>
      </c>
      <c r="T671" s="9">
        <v>2.845E-2</v>
      </c>
      <c r="U671" s="24">
        <v>2.9319999999999999E-2</v>
      </c>
    </row>
    <row r="672" spans="1:21" ht="12" customHeight="1" x14ac:dyDescent="0.25">
      <c r="A672" s="5">
        <v>1688</v>
      </c>
      <c r="B672" s="19" t="s">
        <v>332</v>
      </c>
      <c r="C672" s="19" t="s">
        <v>12</v>
      </c>
      <c r="D672" s="5" t="s">
        <v>333</v>
      </c>
      <c r="E672" s="6">
        <v>367132.83328730997</v>
      </c>
      <c r="F672" s="6">
        <v>6548087.3749714997</v>
      </c>
      <c r="G672" s="7" t="str">
        <f>HYPERLINK("https://minkarta.lantmateriet.se/?e=367132,83328731&amp;n=6548087,3749715&amp;z=12&amp;profile=flygbildmedgranser&amp;background=2&amp;boundaries=true","Visa")</f>
        <v>Visa</v>
      </c>
      <c r="H672" s="5" t="s">
        <v>14</v>
      </c>
      <c r="I672" s="8">
        <v>37.223379999999999</v>
      </c>
      <c r="J672" s="9">
        <v>46.46369</v>
      </c>
      <c r="K672" s="9">
        <v>47.917650000000002</v>
      </c>
      <c r="L672" s="14">
        <v>38.158329999999999</v>
      </c>
      <c r="M672" s="9">
        <v>46.963180000000001</v>
      </c>
      <c r="N672" s="9">
        <v>50.433840000000004</v>
      </c>
      <c r="O672" s="14">
        <v>38.59422</v>
      </c>
      <c r="P672" s="9">
        <v>47.948009999999996</v>
      </c>
      <c r="Q672" s="9">
        <v>50.802579999999999</v>
      </c>
      <c r="R672" s="23">
        <v>35.761560000000003</v>
      </c>
      <c r="S672" s="8">
        <v>0.43589</v>
      </c>
      <c r="T672" s="9">
        <v>0.98482999999999998</v>
      </c>
      <c r="U672" s="24">
        <v>0.36874000000000001</v>
      </c>
    </row>
    <row r="673" spans="1:21" ht="12" customHeight="1" x14ac:dyDescent="0.25">
      <c r="A673" s="5">
        <v>1690</v>
      </c>
      <c r="B673" s="19" t="s">
        <v>334</v>
      </c>
      <c r="C673" s="19" t="s">
        <v>12</v>
      </c>
      <c r="D673" s="5" t="s">
        <v>335</v>
      </c>
      <c r="E673" s="6">
        <v>367128.65777381998</v>
      </c>
      <c r="F673" s="6">
        <v>6548102.3830527002</v>
      </c>
      <c r="G673" s="7" t="str">
        <f>HYPERLINK("https://minkarta.lantmateriet.se/?e=367128,65777382&amp;n=6548102,3830527&amp;z=12&amp;profile=flygbildmedgranser&amp;background=2&amp;boundaries=true","Visa")</f>
        <v>Visa</v>
      </c>
      <c r="H673" s="5" t="s">
        <v>15</v>
      </c>
      <c r="I673" s="8">
        <v>34.913820000000001</v>
      </c>
      <c r="J673" s="9">
        <v>43.285299999999999</v>
      </c>
      <c r="K673" s="9">
        <v>44.813879999999997</v>
      </c>
      <c r="L673" s="14">
        <v>35.853169999999999</v>
      </c>
      <c r="M673" s="9">
        <v>43.714410000000001</v>
      </c>
      <c r="N673" s="9">
        <v>45.332369999999997</v>
      </c>
      <c r="O673" s="14">
        <v>36.073909999999998</v>
      </c>
      <c r="P673" s="9">
        <v>43.74286</v>
      </c>
      <c r="Q673" s="9">
        <v>45.361690000000003</v>
      </c>
      <c r="R673" s="23">
        <v>28.44943</v>
      </c>
      <c r="S673" s="8">
        <v>0.22073999999999999</v>
      </c>
      <c r="T673" s="9">
        <v>2.845E-2</v>
      </c>
      <c r="U673" s="24">
        <v>2.9319999999999999E-2</v>
      </c>
    </row>
    <row r="674" spans="1:21" ht="12" customHeight="1" x14ac:dyDescent="0.25">
      <c r="A674" s="5">
        <v>1691</v>
      </c>
      <c r="B674" s="19" t="s">
        <v>334</v>
      </c>
      <c r="C674" s="19" t="s">
        <v>12</v>
      </c>
      <c r="D674" s="5" t="s">
        <v>335</v>
      </c>
      <c r="E674" s="6">
        <v>367132.36545063002</v>
      </c>
      <c r="F674" s="6">
        <v>6548108.5102738002</v>
      </c>
      <c r="G674" s="7" t="str">
        <f>HYPERLINK("https://minkarta.lantmateriet.se/?e=367132,36545063&amp;n=6548108,5102738&amp;z=12&amp;profile=flygbildmedgranser&amp;background=2&amp;boundaries=true","Visa")</f>
        <v>Visa</v>
      </c>
      <c r="H674" s="5" t="s">
        <v>13</v>
      </c>
      <c r="I674" s="8">
        <v>36.382219999999997</v>
      </c>
      <c r="J674" s="9">
        <v>49.425109999999997</v>
      </c>
      <c r="K674" s="9">
        <v>50.953690000000002</v>
      </c>
      <c r="L674" s="14">
        <v>37.308750000000003</v>
      </c>
      <c r="M674" s="9">
        <v>49.854219999999998</v>
      </c>
      <c r="N674" s="9">
        <v>51.472189999999998</v>
      </c>
      <c r="O674" s="14">
        <v>37.605910000000002</v>
      </c>
      <c r="P674" s="9">
        <v>49.882669999999997</v>
      </c>
      <c r="Q674" s="9">
        <v>51.501510000000003</v>
      </c>
      <c r="R674" s="23">
        <v>29.109279999999998</v>
      </c>
      <c r="S674" s="8">
        <v>0.29715999999999998</v>
      </c>
      <c r="T674" s="9">
        <v>2.845E-2</v>
      </c>
      <c r="U674" s="24">
        <v>2.9319999999999999E-2</v>
      </c>
    </row>
    <row r="675" spans="1:21" ht="12" customHeight="1" x14ac:dyDescent="0.25">
      <c r="A675" s="5">
        <v>1692</v>
      </c>
      <c r="B675" s="19" t="s">
        <v>334</v>
      </c>
      <c r="C675" s="19" t="s">
        <v>12</v>
      </c>
      <c r="D675" s="5" t="s">
        <v>335</v>
      </c>
      <c r="E675" s="6">
        <v>367125.66322898999</v>
      </c>
      <c r="F675" s="6">
        <v>6548111.0324515002</v>
      </c>
      <c r="G675" s="7" t="str">
        <f>HYPERLINK("https://minkarta.lantmateriet.se/?e=367125,66322899&amp;n=6548111,0324515&amp;z=12&amp;profile=flygbildmedgranser&amp;background=2&amp;boundaries=true","Visa")</f>
        <v>Visa</v>
      </c>
      <c r="H675" s="5" t="s">
        <v>14</v>
      </c>
      <c r="I675" s="8">
        <v>39.121789999999997</v>
      </c>
      <c r="J675" s="9">
        <v>47.773260000000001</v>
      </c>
      <c r="K675" s="9">
        <v>49.301839999999999</v>
      </c>
      <c r="L675" s="14">
        <v>40.038550000000001</v>
      </c>
      <c r="M675" s="9">
        <v>48.202370000000002</v>
      </c>
      <c r="N675" s="9">
        <v>49.820340000000002</v>
      </c>
      <c r="O675" s="14">
        <v>40.244610000000002</v>
      </c>
      <c r="P675" s="9">
        <v>48.230820000000001</v>
      </c>
      <c r="Q675" s="9">
        <v>49.84966</v>
      </c>
      <c r="R675" s="23">
        <v>33.870530000000002</v>
      </c>
      <c r="S675" s="8">
        <v>0.20605999999999999</v>
      </c>
      <c r="T675" s="9">
        <v>2.845E-2</v>
      </c>
      <c r="U675" s="24">
        <v>2.9319999999999999E-2</v>
      </c>
    </row>
    <row r="676" spans="1:21" ht="12" customHeight="1" x14ac:dyDescent="0.25">
      <c r="A676" s="5">
        <v>1693</v>
      </c>
      <c r="B676" s="19" t="s">
        <v>334</v>
      </c>
      <c r="C676" s="19" t="s">
        <v>12</v>
      </c>
      <c r="D676" s="5" t="s">
        <v>335</v>
      </c>
      <c r="E676" s="6">
        <v>367121.95555125998</v>
      </c>
      <c r="F676" s="6">
        <v>6548104.9052306004</v>
      </c>
      <c r="G676" s="7" t="str">
        <f>HYPERLINK("https://minkarta.lantmateriet.se/?e=367121,95555126&amp;n=6548104,9052306&amp;z=12&amp;profile=flygbildmedgranser&amp;background=2&amp;boundaries=true","Visa")</f>
        <v>Visa</v>
      </c>
      <c r="H676" s="5" t="s">
        <v>16</v>
      </c>
      <c r="I676" s="8">
        <v>40.439</v>
      </c>
      <c r="J676" s="9">
        <v>50.708080000000002</v>
      </c>
      <c r="K676" s="9">
        <v>52.236660000000001</v>
      </c>
      <c r="L676" s="14">
        <v>41.364370000000001</v>
      </c>
      <c r="M676" s="9">
        <v>51.137189999999997</v>
      </c>
      <c r="N676" s="9">
        <v>52.75515</v>
      </c>
      <c r="O676" s="14">
        <v>41.48272</v>
      </c>
      <c r="P676" s="9">
        <v>51.165640000000003</v>
      </c>
      <c r="Q676" s="9">
        <v>52.784469999999999</v>
      </c>
      <c r="R676" s="23">
        <v>32.622399999999999</v>
      </c>
      <c r="S676" s="8">
        <v>0.11835</v>
      </c>
      <c r="T676" s="9">
        <v>2.845E-2</v>
      </c>
      <c r="U676" s="24">
        <v>2.9319999999999999E-2</v>
      </c>
    </row>
    <row r="677" spans="1:21" ht="12" customHeight="1" x14ac:dyDescent="0.25">
      <c r="A677" s="5">
        <v>1694</v>
      </c>
      <c r="B677" s="19" t="s">
        <v>336</v>
      </c>
      <c r="C677" s="19" t="s">
        <v>12</v>
      </c>
      <c r="D677" s="5" t="s">
        <v>337</v>
      </c>
      <c r="E677" s="6">
        <v>367157.56941214</v>
      </c>
      <c r="F677" s="6">
        <v>6548203.2946718</v>
      </c>
      <c r="G677" s="7" t="str">
        <f>HYPERLINK("https://minkarta.lantmateriet.se/?e=367157,56941214&amp;n=6548203,2946718&amp;z=12&amp;profile=flygbildmedgranser&amp;background=2&amp;boundaries=true","Visa")</f>
        <v>Visa</v>
      </c>
      <c r="H677" s="5" t="s">
        <v>13</v>
      </c>
      <c r="I677" s="8">
        <v>36.94023</v>
      </c>
      <c r="J677" s="9">
        <v>51.51041</v>
      </c>
      <c r="K677" s="9">
        <v>52.964379999999998</v>
      </c>
      <c r="L677" s="14">
        <v>37.880540000000003</v>
      </c>
      <c r="M677" s="9">
        <v>52.009909999999998</v>
      </c>
      <c r="N677" s="9">
        <v>55.48057</v>
      </c>
      <c r="O677" s="14">
        <v>38.621079999999999</v>
      </c>
      <c r="P677" s="9">
        <v>52.994729999999997</v>
      </c>
      <c r="Q677" s="9">
        <v>55.849299999999999</v>
      </c>
      <c r="R677" s="23">
        <v>21.708349999999999</v>
      </c>
      <c r="S677" s="8">
        <v>0.74053999999999998</v>
      </c>
      <c r="T677" s="9">
        <v>0.98482000000000003</v>
      </c>
      <c r="U677" s="24">
        <v>0.36873</v>
      </c>
    </row>
    <row r="678" spans="1:21" ht="12" customHeight="1" x14ac:dyDescent="0.25">
      <c r="A678" s="5">
        <v>1695</v>
      </c>
      <c r="B678" s="19" t="s">
        <v>336</v>
      </c>
      <c r="C678" s="19" t="s">
        <v>12</v>
      </c>
      <c r="D678" s="5" t="s">
        <v>337</v>
      </c>
      <c r="E678" s="6">
        <v>367153.43633057998</v>
      </c>
      <c r="F678" s="6">
        <v>6548209.4684132002</v>
      </c>
      <c r="G678" s="7" t="str">
        <f>HYPERLINK("https://minkarta.lantmateriet.se/?e=367153,43633058&amp;n=6548209,4684132&amp;z=12&amp;profile=flygbildmedgranser&amp;background=2&amp;boundaries=true","Visa")</f>
        <v>Visa</v>
      </c>
      <c r="H678" s="5" t="s">
        <v>14</v>
      </c>
      <c r="I678" s="8">
        <v>39.1768</v>
      </c>
      <c r="J678" s="9">
        <v>51.741599999999998</v>
      </c>
      <c r="K678" s="9">
        <v>53.19556</v>
      </c>
      <c r="L678" s="14">
        <v>40.11486</v>
      </c>
      <c r="M678" s="9">
        <v>52.24109</v>
      </c>
      <c r="N678" s="9">
        <v>55.711750000000002</v>
      </c>
      <c r="O678" s="14">
        <v>40.502200000000002</v>
      </c>
      <c r="P678" s="9">
        <v>53.225909999999999</v>
      </c>
      <c r="Q678" s="9">
        <v>56.080489999999998</v>
      </c>
      <c r="R678" s="23">
        <v>33.892420000000001</v>
      </c>
      <c r="S678" s="8">
        <v>0.38734000000000002</v>
      </c>
      <c r="T678" s="9">
        <v>0.98482000000000003</v>
      </c>
      <c r="U678" s="24">
        <v>0.36874000000000001</v>
      </c>
    </row>
    <row r="679" spans="1:21" ht="12" customHeight="1" x14ac:dyDescent="0.25">
      <c r="A679" s="5">
        <v>1696</v>
      </c>
      <c r="B679" s="19" t="s">
        <v>336</v>
      </c>
      <c r="C679" s="19" t="s">
        <v>12</v>
      </c>
      <c r="D679" s="5" t="s">
        <v>337</v>
      </c>
      <c r="E679" s="6">
        <v>367147.82158987998</v>
      </c>
      <c r="F679" s="6">
        <v>6548204.6028322997</v>
      </c>
      <c r="G679" s="7" t="str">
        <f>HYPERLINK("https://minkarta.lantmateriet.se/?e=367147,82158988&amp;n=6548204,6028323&amp;z=12&amp;profile=flygbildmedgranser&amp;background=2&amp;boundaries=true","Visa")</f>
        <v>Visa</v>
      </c>
      <c r="H679" s="5" t="s">
        <v>16</v>
      </c>
      <c r="I679" s="8">
        <v>39.669089999999997</v>
      </c>
      <c r="J679" s="9">
        <v>44.85284</v>
      </c>
      <c r="K679" s="9">
        <v>46.381419999999999</v>
      </c>
      <c r="L679" s="14">
        <v>40.608809999999998</v>
      </c>
      <c r="M679" s="9">
        <v>45.281950000000002</v>
      </c>
      <c r="N679" s="9">
        <v>46.899920000000002</v>
      </c>
      <c r="O679" s="14">
        <v>40.780709999999999</v>
      </c>
      <c r="P679" s="9">
        <v>45.310400000000001</v>
      </c>
      <c r="Q679" s="9">
        <v>46.92924</v>
      </c>
      <c r="R679" s="23">
        <v>33.549019999999999</v>
      </c>
      <c r="S679" s="8">
        <v>0.1719</v>
      </c>
      <c r="T679" s="9">
        <v>2.845E-2</v>
      </c>
      <c r="U679" s="24">
        <v>2.9319999999999999E-2</v>
      </c>
    </row>
    <row r="680" spans="1:21" ht="12" customHeight="1" x14ac:dyDescent="0.25">
      <c r="A680" s="5">
        <v>1697</v>
      </c>
      <c r="B680" s="19" t="s">
        <v>336</v>
      </c>
      <c r="C680" s="19" t="s">
        <v>12</v>
      </c>
      <c r="D680" s="5" t="s">
        <v>337</v>
      </c>
      <c r="E680" s="6">
        <v>367151.95467041997</v>
      </c>
      <c r="F680" s="6">
        <v>6548198.4290909003</v>
      </c>
      <c r="G680" s="7" t="str">
        <f>HYPERLINK("https://minkarta.lantmateriet.se/?e=367151,95467042&amp;n=6548198,4290909&amp;z=12&amp;profile=flygbildmedgranser&amp;background=2&amp;boundaries=true","Visa")</f>
        <v>Visa</v>
      </c>
      <c r="H680" s="5" t="s">
        <v>15</v>
      </c>
      <c r="I680" s="8">
        <v>38.581290000000003</v>
      </c>
      <c r="J680" s="9">
        <v>47.43533</v>
      </c>
      <c r="K680" s="9">
        <v>48.963909999999998</v>
      </c>
      <c r="L680" s="14">
        <v>39.519629999999999</v>
      </c>
      <c r="M680" s="9">
        <v>47.864429999999999</v>
      </c>
      <c r="N680" s="9">
        <v>49.482399999999998</v>
      </c>
      <c r="O680" s="14">
        <v>39.665880000000001</v>
      </c>
      <c r="P680" s="9">
        <v>47.892879999999998</v>
      </c>
      <c r="Q680" s="9">
        <v>49.511719999999997</v>
      </c>
      <c r="R680" s="23">
        <v>29.02336</v>
      </c>
      <c r="S680" s="8">
        <v>0.14624999999999999</v>
      </c>
      <c r="T680" s="9">
        <v>2.845E-2</v>
      </c>
      <c r="U680" s="24">
        <v>2.9319999999999999E-2</v>
      </c>
    </row>
    <row r="681" spans="1:21" ht="12" customHeight="1" x14ac:dyDescent="0.25">
      <c r="A681" s="5">
        <v>1698</v>
      </c>
      <c r="B681" s="19" t="s">
        <v>338</v>
      </c>
      <c r="C681" s="19" t="s">
        <v>254</v>
      </c>
      <c r="D681" s="5" t="s">
        <v>339</v>
      </c>
      <c r="E681" s="6">
        <v>367153.29491187999</v>
      </c>
      <c r="F681" s="6">
        <v>6548177.7886699</v>
      </c>
      <c r="G681" s="7" t="str">
        <f>HYPERLINK("https://minkarta.lantmateriet.se/?e=367153,29491188&amp;n=6548177,7886699&amp;z=12&amp;profile=flygbildmedgranser&amp;background=2&amp;boundaries=true","Visa")</f>
        <v>Visa</v>
      </c>
      <c r="H681" s="5" t="s">
        <v>13</v>
      </c>
      <c r="I681" s="8">
        <v>39.144150000000003</v>
      </c>
      <c r="J681" s="9">
        <v>50.148829999999997</v>
      </c>
      <c r="K681" s="9">
        <v>51.602789999999999</v>
      </c>
      <c r="L681" s="14">
        <v>40.0867</v>
      </c>
      <c r="M681" s="9">
        <v>50.648319999999998</v>
      </c>
      <c r="N681" s="9">
        <v>54.118980000000001</v>
      </c>
      <c r="O681" s="14">
        <v>40.455069999999999</v>
      </c>
      <c r="P681" s="9">
        <v>51.633139999999997</v>
      </c>
      <c r="Q681" s="9">
        <v>54.487720000000003</v>
      </c>
      <c r="R681" s="23">
        <v>21.687390000000001</v>
      </c>
      <c r="S681" s="8">
        <v>0.36836999999999998</v>
      </c>
      <c r="T681" s="9">
        <v>0.98482000000000003</v>
      </c>
      <c r="U681" s="24">
        <v>0.36874000000000001</v>
      </c>
    </row>
    <row r="682" spans="1:21" ht="12" customHeight="1" x14ac:dyDescent="0.25">
      <c r="A682" s="5">
        <v>1700</v>
      </c>
      <c r="B682" s="19" t="s">
        <v>338</v>
      </c>
      <c r="C682" s="19" t="s">
        <v>254</v>
      </c>
      <c r="D682" s="5" t="s">
        <v>339</v>
      </c>
      <c r="E682" s="6">
        <v>367143.98009039002</v>
      </c>
      <c r="F682" s="6">
        <v>6548181.1313361004</v>
      </c>
      <c r="G682" s="7" t="str">
        <f>HYPERLINK("https://minkarta.lantmateriet.se/?e=367143,98009039&amp;n=6548181,1313361&amp;z=12&amp;profile=flygbildmedgranser&amp;background=2&amp;boundaries=true","Visa")</f>
        <v>Visa</v>
      </c>
      <c r="H682" s="5" t="s">
        <v>16</v>
      </c>
      <c r="I682" s="8">
        <v>38.953490000000002</v>
      </c>
      <c r="J682" s="9">
        <v>45.085380000000001</v>
      </c>
      <c r="K682" s="9">
        <v>46.613959999999999</v>
      </c>
      <c r="L682" s="14">
        <v>39.884909999999998</v>
      </c>
      <c r="M682" s="9">
        <v>45.514490000000002</v>
      </c>
      <c r="N682" s="9">
        <v>47.132449999999999</v>
      </c>
      <c r="O682" s="14">
        <v>40.020560000000003</v>
      </c>
      <c r="P682" s="9">
        <v>45.542940000000002</v>
      </c>
      <c r="Q682" s="9">
        <v>47.161769999999997</v>
      </c>
      <c r="R682" s="23">
        <v>34.547580000000004</v>
      </c>
      <c r="S682" s="8">
        <v>0.13564999999999999</v>
      </c>
      <c r="T682" s="9">
        <v>2.845E-2</v>
      </c>
      <c r="U682" s="24">
        <v>2.9319999999999999E-2</v>
      </c>
    </row>
    <row r="683" spans="1:21" ht="12" customHeight="1" x14ac:dyDescent="0.25">
      <c r="A683" s="5">
        <v>1701</v>
      </c>
      <c r="B683" s="19" t="s">
        <v>338</v>
      </c>
      <c r="C683" s="19" t="s">
        <v>254</v>
      </c>
      <c r="D683" s="5" t="s">
        <v>339</v>
      </c>
      <c r="E683" s="6">
        <v>367141.60509064002</v>
      </c>
      <c r="F683" s="6">
        <v>6548176.7213380001</v>
      </c>
      <c r="G683" s="7" t="str">
        <f>HYPERLINK("https://minkarta.lantmateriet.se/?e=367141,60509064&amp;n=6548176,721338&amp;z=12&amp;profile=flygbildmedgranser&amp;background=2&amp;boundaries=true","Visa")</f>
        <v>Visa</v>
      </c>
      <c r="H683" s="5" t="s">
        <v>16</v>
      </c>
      <c r="I683" s="8">
        <v>39.271160000000002</v>
      </c>
      <c r="J683" s="9">
        <v>41.397910000000003</v>
      </c>
      <c r="K683" s="9">
        <v>42.926490000000001</v>
      </c>
      <c r="L683" s="14">
        <v>40.205919999999999</v>
      </c>
      <c r="M683" s="9">
        <v>41.827019999999997</v>
      </c>
      <c r="N683" s="9">
        <v>43.444989999999997</v>
      </c>
      <c r="O683" s="14">
        <v>40.398919999999997</v>
      </c>
      <c r="P683" s="9">
        <v>41.855469999999997</v>
      </c>
      <c r="Q683" s="9">
        <v>43.631770000000003</v>
      </c>
      <c r="R683" s="23">
        <v>34.728070000000002</v>
      </c>
      <c r="S683" s="8">
        <v>0.193</v>
      </c>
      <c r="T683" s="9">
        <v>2.845E-2</v>
      </c>
      <c r="U683" s="24">
        <v>0.18678</v>
      </c>
    </row>
    <row r="684" spans="1:21" ht="12" customHeight="1" x14ac:dyDescent="0.25">
      <c r="A684" s="5">
        <v>1703</v>
      </c>
      <c r="B684" s="19" t="s">
        <v>340</v>
      </c>
      <c r="C684" s="19" t="s">
        <v>254</v>
      </c>
      <c r="D684" s="5" t="s">
        <v>341</v>
      </c>
      <c r="E684" s="6">
        <v>367151.68991730001</v>
      </c>
      <c r="F684" s="6">
        <v>6548165.6037109001</v>
      </c>
      <c r="G684" s="7" t="str">
        <f>HYPERLINK("https://minkarta.lantmateriet.se/?e=367151,6899173&amp;n=6548165,6037109&amp;z=12&amp;profile=flygbildmedgranser&amp;background=2&amp;boundaries=true","Visa")</f>
        <v>Visa</v>
      </c>
      <c r="H684" s="5" t="s">
        <v>13</v>
      </c>
      <c r="I684" s="8">
        <v>39.51491</v>
      </c>
      <c r="J684" s="9">
        <v>49.570689999999999</v>
      </c>
      <c r="K684" s="9">
        <v>51.024659999999997</v>
      </c>
      <c r="L684" s="14">
        <v>40.447620000000001</v>
      </c>
      <c r="M684" s="9">
        <v>50.070189999999997</v>
      </c>
      <c r="N684" s="9">
        <v>53.540849999999999</v>
      </c>
      <c r="O684" s="14">
        <v>40.796680000000002</v>
      </c>
      <c r="P684" s="9">
        <v>51.055010000000003</v>
      </c>
      <c r="Q684" s="9">
        <v>53.909579999999998</v>
      </c>
      <c r="R684" s="23">
        <v>24.998539999999998</v>
      </c>
      <c r="S684" s="8">
        <v>0.34905999999999998</v>
      </c>
      <c r="T684" s="9">
        <v>0.98482000000000003</v>
      </c>
      <c r="U684" s="24">
        <v>0.36873</v>
      </c>
    </row>
    <row r="685" spans="1:21" ht="12" customHeight="1" x14ac:dyDescent="0.25">
      <c r="A685" s="5">
        <v>1705</v>
      </c>
      <c r="B685" s="19" t="s">
        <v>340</v>
      </c>
      <c r="C685" s="19" t="s">
        <v>254</v>
      </c>
      <c r="D685" s="5" t="s">
        <v>341</v>
      </c>
      <c r="E685" s="6">
        <v>367142.59508593997</v>
      </c>
      <c r="F685" s="6">
        <v>6548168.8913025996</v>
      </c>
      <c r="G685" s="7" t="str">
        <f>HYPERLINK("https://minkarta.lantmateriet.se/?e=367142,59508594&amp;n=6548168,8913026&amp;z=12&amp;profile=flygbildmedgranser&amp;background=2&amp;boundaries=true","Visa")</f>
        <v>Visa</v>
      </c>
      <c r="H685" s="5" t="s">
        <v>16</v>
      </c>
      <c r="I685" s="8">
        <v>38.339379999999998</v>
      </c>
      <c r="J685" s="9">
        <v>41.20485</v>
      </c>
      <c r="K685" s="9">
        <v>42.733429999999998</v>
      </c>
      <c r="L685" s="14">
        <v>39.269680000000001</v>
      </c>
      <c r="M685" s="9">
        <v>41.633960000000002</v>
      </c>
      <c r="N685" s="9">
        <v>43.251919999999998</v>
      </c>
      <c r="O685" s="14">
        <v>39.493189999999998</v>
      </c>
      <c r="P685" s="9">
        <v>41.662410000000001</v>
      </c>
      <c r="Q685" s="9">
        <v>43.281239999999997</v>
      </c>
      <c r="R685" s="23">
        <v>34.652889999999999</v>
      </c>
      <c r="S685" s="8">
        <v>0.22350999999999999</v>
      </c>
      <c r="T685" s="9">
        <v>2.845E-2</v>
      </c>
      <c r="U685" s="24">
        <v>2.9319999999999999E-2</v>
      </c>
    </row>
    <row r="686" spans="1:21" ht="12" customHeight="1" x14ac:dyDescent="0.25">
      <c r="A686" s="5">
        <v>1706</v>
      </c>
      <c r="B686" s="19" t="s">
        <v>340</v>
      </c>
      <c r="C686" s="19" t="s">
        <v>254</v>
      </c>
      <c r="D686" s="5" t="s">
        <v>341</v>
      </c>
      <c r="E686" s="6">
        <v>367140.84629739</v>
      </c>
      <c r="F686" s="6">
        <v>6548166.4549176004</v>
      </c>
      <c r="G686" s="7" t="str">
        <f>HYPERLINK("https://minkarta.lantmateriet.se/?e=367140,84629739&amp;n=6548166,4549176&amp;z=12&amp;profile=flygbildmedgranser&amp;background=2&amp;boundaries=true","Visa")</f>
        <v>Visa</v>
      </c>
      <c r="H686" s="5" t="s">
        <v>14</v>
      </c>
      <c r="I686" s="8">
        <v>38.154670000000003</v>
      </c>
      <c r="J686" s="9">
        <v>39.205739999999999</v>
      </c>
      <c r="K686" s="9">
        <v>40.734319999999997</v>
      </c>
      <c r="L686" s="14">
        <v>39.078719999999997</v>
      </c>
      <c r="M686" s="9">
        <v>39.63485</v>
      </c>
      <c r="N686" s="9">
        <v>41.25282</v>
      </c>
      <c r="O686" s="14">
        <v>39.34686</v>
      </c>
      <c r="P686" s="9">
        <v>39.6633</v>
      </c>
      <c r="Q686" s="9">
        <v>41.558999999999997</v>
      </c>
      <c r="R686" s="23">
        <v>36.132719999999999</v>
      </c>
      <c r="S686" s="8">
        <v>0.26813999999999999</v>
      </c>
      <c r="T686" s="9">
        <v>2.845E-2</v>
      </c>
      <c r="U686" s="24">
        <v>0.30618000000000001</v>
      </c>
    </row>
    <row r="687" spans="1:21" ht="12" customHeight="1" x14ac:dyDescent="0.25">
      <c r="A687" s="5">
        <v>1707</v>
      </c>
      <c r="B687" s="19" t="s">
        <v>340</v>
      </c>
      <c r="C687" s="19" t="s">
        <v>254</v>
      </c>
      <c r="D687" s="5" t="s">
        <v>341</v>
      </c>
      <c r="E687" s="6">
        <v>367139.15508272999</v>
      </c>
      <c r="F687" s="6">
        <v>6548164.5712778997</v>
      </c>
      <c r="G687" s="7" t="str">
        <f>HYPERLINK("https://minkarta.lantmateriet.se/?e=367139,15508273&amp;n=6548164,5712779&amp;z=12&amp;profile=flygbildmedgranser&amp;background=2&amp;boundaries=true","Visa")</f>
        <v>Visa</v>
      </c>
      <c r="H687" s="5" t="s">
        <v>16</v>
      </c>
      <c r="I687" s="8">
        <v>39.504379999999998</v>
      </c>
      <c r="J687" s="9">
        <v>43.56861</v>
      </c>
      <c r="K687" s="9">
        <v>45.097189999999998</v>
      </c>
      <c r="L687" s="14">
        <v>40.444130000000001</v>
      </c>
      <c r="M687" s="9">
        <v>43.997720000000001</v>
      </c>
      <c r="N687" s="9">
        <v>45.615679999999998</v>
      </c>
      <c r="O687" s="14">
        <v>40.688090000000003</v>
      </c>
      <c r="P687" s="9">
        <v>44.02617</v>
      </c>
      <c r="Q687" s="9">
        <v>45.645000000000003</v>
      </c>
      <c r="R687" s="23">
        <v>34.584240000000001</v>
      </c>
      <c r="S687" s="8">
        <v>0.24396000000000001</v>
      </c>
      <c r="T687" s="9">
        <v>2.845E-2</v>
      </c>
      <c r="U687" s="24">
        <v>2.9319999999999999E-2</v>
      </c>
    </row>
    <row r="688" spans="1:21" ht="12" customHeight="1" x14ac:dyDescent="0.25">
      <c r="A688" s="5">
        <v>1710</v>
      </c>
      <c r="B688" s="19" t="s">
        <v>342</v>
      </c>
      <c r="C688" s="19" t="s">
        <v>254</v>
      </c>
      <c r="D688" s="5" t="s">
        <v>343</v>
      </c>
      <c r="E688" s="6">
        <v>367150.07492177997</v>
      </c>
      <c r="F688" s="6">
        <v>6548153.4087458001</v>
      </c>
      <c r="G688" s="7" t="str">
        <f>HYPERLINK("https://minkarta.lantmateriet.se/?e=367150,07492178&amp;n=6548153,4087458&amp;z=12&amp;profile=flygbildmedgranser&amp;background=2&amp;boundaries=true","Visa")</f>
        <v>Visa</v>
      </c>
      <c r="H688" s="5" t="s">
        <v>13</v>
      </c>
      <c r="I688" s="8">
        <v>38.513179999999998</v>
      </c>
      <c r="J688" s="9">
        <v>49.026589999999999</v>
      </c>
      <c r="K688" s="9">
        <v>50.480550000000001</v>
      </c>
      <c r="L688" s="14">
        <v>39.446359999999999</v>
      </c>
      <c r="M688" s="9">
        <v>49.52608</v>
      </c>
      <c r="N688" s="9">
        <v>52.996740000000003</v>
      </c>
      <c r="O688" s="14">
        <v>39.773789999999998</v>
      </c>
      <c r="P688" s="9">
        <v>50.510899999999999</v>
      </c>
      <c r="Q688" s="9">
        <v>53.365479999999998</v>
      </c>
      <c r="R688" s="23">
        <v>31.123069999999998</v>
      </c>
      <c r="S688" s="8">
        <v>0.32743</v>
      </c>
      <c r="T688" s="9">
        <v>0.98482000000000003</v>
      </c>
      <c r="U688" s="24">
        <v>0.36874000000000001</v>
      </c>
    </row>
    <row r="689" spans="1:21" ht="12" customHeight="1" x14ac:dyDescent="0.25">
      <c r="A689" s="5">
        <v>1712</v>
      </c>
      <c r="B689" s="19" t="s">
        <v>342</v>
      </c>
      <c r="C689" s="19" t="s">
        <v>254</v>
      </c>
      <c r="D689" s="5" t="s">
        <v>343</v>
      </c>
      <c r="E689" s="6">
        <v>367140.99507985997</v>
      </c>
      <c r="F689" s="6">
        <v>6548156.3912554001</v>
      </c>
      <c r="G689" s="7" t="str">
        <f>HYPERLINK("https://minkarta.lantmateriet.se/?e=367140,99507986&amp;n=6548156,3912554&amp;z=12&amp;profile=flygbildmedgranser&amp;background=2&amp;boundaries=true","Visa")</f>
        <v>Visa</v>
      </c>
      <c r="H689" s="5" t="s">
        <v>16</v>
      </c>
      <c r="I689" s="8">
        <v>38.977260000000001</v>
      </c>
      <c r="J689" s="9">
        <v>44.202910000000003</v>
      </c>
      <c r="K689" s="9">
        <v>45.731490000000001</v>
      </c>
      <c r="L689" s="14">
        <v>39.908830000000002</v>
      </c>
      <c r="M689" s="9">
        <v>44.632019999999997</v>
      </c>
      <c r="N689" s="9">
        <v>46.249980000000001</v>
      </c>
      <c r="O689" s="14">
        <v>40.137169999999998</v>
      </c>
      <c r="P689" s="9">
        <v>44.660469999999997</v>
      </c>
      <c r="Q689" s="9">
        <v>46.279310000000002</v>
      </c>
      <c r="R689" s="23">
        <v>35.382460000000002</v>
      </c>
      <c r="S689" s="8">
        <v>0.22833999999999999</v>
      </c>
      <c r="T689" s="9">
        <v>2.845E-2</v>
      </c>
      <c r="U689" s="24">
        <v>2.9329999999999998E-2</v>
      </c>
    </row>
    <row r="690" spans="1:21" ht="12" customHeight="1" x14ac:dyDescent="0.25">
      <c r="A690" s="5">
        <v>1713</v>
      </c>
      <c r="B690" s="19" t="s">
        <v>342</v>
      </c>
      <c r="C690" s="19" t="s">
        <v>254</v>
      </c>
      <c r="D690" s="5" t="s">
        <v>343</v>
      </c>
      <c r="E690" s="6">
        <v>367139.63622329</v>
      </c>
      <c r="F690" s="6">
        <v>6548153.714927</v>
      </c>
      <c r="G690" s="7" t="str">
        <f>HYPERLINK("https://minkarta.lantmateriet.se/?e=367139,63622329&amp;n=6548153,714927&amp;z=12&amp;profile=flygbildmedgranser&amp;background=2&amp;boundaries=true","Visa")</f>
        <v>Visa</v>
      </c>
      <c r="H690" s="5" t="s">
        <v>14</v>
      </c>
      <c r="I690" s="8">
        <v>38.202260000000003</v>
      </c>
      <c r="J690" s="9">
        <v>40.795859999999998</v>
      </c>
      <c r="K690" s="9">
        <v>42.324440000000003</v>
      </c>
      <c r="L690" s="14">
        <v>39.13588</v>
      </c>
      <c r="M690" s="9">
        <v>41.224960000000003</v>
      </c>
      <c r="N690" s="9">
        <v>42.842930000000003</v>
      </c>
      <c r="O690" s="14">
        <v>39.444659999999999</v>
      </c>
      <c r="P690" s="9">
        <v>41.253410000000002</v>
      </c>
      <c r="Q690" s="9">
        <v>42.872250000000001</v>
      </c>
      <c r="R690" s="23">
        <v>35.806269999999998</v>
      </c>
      <c r="S690" s="8">
        <v>0.30878</v>
      </c>
      <c r="T690" s="9">
        <v>2.845E-2</v>
      </c>
      <c r="U690" s="24">
        <v>2.9319999999999999E-2</v>
      </c>
    </row>
    <row r="691" spans="1:21" ht="12" customHeight="1" x14ac:dyDescent="0.25">
      <c r="A691" s="5">
        <v>1714</v>
      </c>
      <c r="B691" s="19" t="s">
        <v>342</v>
      </c>
      <c r="C691" s="19" t="s">
        <v>254</v>
      </c>
      <c r="D691" s="5" t="s">
        <v>343</v>
      </c>
      <c r="E691" s="6">
        <v>367138.38008253998</v>
      </c>
      <c r="F691" s="6">
        <v>6548152.0412764</v>
      </c>
      <c r="G691" s="7" t="str">
        <f>HYPERLINK("https://minkarta.lantmateriet.se/?e=367138,38008254&amp;n=6548152,0412764&amp;z=12&amp;profile=flygbildmedgranser&amp;background=2&amp;boundaries=true","Visa")</f>
        <v>Visa</v>
      </c>
      <c r="H691" s="5" t="s">
        <v>16</v>
      </c>
      <c r="I691" s="8">
        <v>39.27946</v>
      </c>
      <c r="J691" s="9">
        <v>40.907380000000003</v>
      </c>
      <c r="K691" s="9">
        <v>42.435960000000001</v>
      </c>
      <c r="L691" s="14">
        <v>40.202869999999997</v>
      </c>
      <c r="M691" s="9">
        <v>41.336489999999998</v>
      </c>
      <c r="N691" s="9">
        <v>43.63335</v>
      </c>
      <c r="O691" s="14">
        <v>40.558430000000001</v>
      </c>
      <c r="P691" s="9">
        <v>41.364939999999997</v>
      </c>
      <c r="Q691" s="9">
        <v>44.002090000000003</v>
      </c>
      <c r="R691" s="23">
        <v>36.291240000000002</v>
      </c>
      <c r="S691" s="8">
        <v>0.35555999999999999</v>
      </c>
      <c r="T691" s="9">
        <v>2.845E-2</v>
      </c>
      <c r="U691" s="24">
        <v>0.36874000000000001</v>
      </c>
    </row>
    <row r="692" spans="1:21" ht="12" customHeight="1" x14ac:dyDescent="0.25">
      <c r="A692" s="5">
        <v>1715</v>
      </c>
      <c r="B692" s="19" t="s">
        <v>342</v>
      </c>
      <c r="C692" s="19" t="s">
        <v>254</v>
      </c>
      <c r="D692" s="5" t="s">
        <v>343</v>
      </c>
      <c r="E692" s="6">
        <v>367139.17864120001</v>
      </c>
      <c r="F692" s="6">
        <v>6548150.1000948995</v>
      </c>
      <c r="G692" s="7" t="str">
        <f>HYPERLINK("https://minkarta.lantmateriet.se/?e=367139,1786412&amp;n=6548150,1000949&amp;z=12&amp;profile=flygbildmedgranser&amp;background=2&amp;boundaries=true","Visa")</f>
        <v>Visa</v>
      </c>
      <c r="H692" s="5" t="s">
        <v>15</v>
      </c>
      <c r="I692" s="8">
        <v>38.222760000000001</v>
      </c>
      <c r="J692" s="9">
        <v>40.752569999999999</v>
      </c>
      <c r="K692" s="9">
        <v>42.281149999999997</v>
      </c>
      <c r="L692" s="14">
        <v>39.148249999999997</v>
      </c>
      <c r="M692" s="9">
        <v>41.181669999999997</v>
      </c>
      <c r="N692" s="9">
        <v>42.799639999999997</v>
      </c>
      <c r="O692" s="14">
        <v>39.352449999999997</v>
      </c>
      <c r="P692" s="9">
        <v>41.210120000000003</v>
      </c>
      <c r="Q692" s="9">
        <v>42.828960000000002</v>
      </c>
      <c r="R692" s="23">
        <v>30.456900000000001</v>
      </c>
      <c r="S692" s="8">
        <v>0.20419999999999999</v>
      </c>
      <c r="T692" s="9">
        <v>2.845E-2</v>
      </c>
      <c r="U692" s="24">
        <v>2.9319999999999999E-2</v>
      </c>
    </row>
    <row r="693" spans="1:21" ht="12" customHeight="1" x14ac:dyDescent="0.25">
      <c r="A693" s="5">
        <v>1716</v>
      </c>
      <c r="B693" s="19" t="s">
        <v>342</v>
      </c>
      <c r="C693" s="19" t="s">
        <v>254</v>
      </c>
      <c r="D693" s="5" t="s">
        <v>343</v>
      </c>
      <c r="E693" s="6">
        <v>367144.83873959997</v>
      </c>
      <c r="F693" s="6">
        <v>6548149.3700818997</v>
      </c>
      <c r="G693" s="7" t="str">
        <f>HYPERLINK("https://minkarta.lantmateriet.se/?e=367144,8387396&amp;n=6548149,3700819&amp;z=12&amp;profile=flygbildmedgranser&amp;background=2&amp;boundaries=true","Visa")</f>
        <v>Visa</v>
      </c>
      <c r="H693" s="5" t="s">
        <v>15</v>
      </c>
      <c r="I693" s="8">
        <v>37.46866</v>
      </c>
      <c r="J693" s="9">
        <v>40.49051</v>
      </c>
      <c r="K693" s="9">
        <v>42.019089999999998</v>
      </c>
      <c r="L693" s="14">
        <v>38.398960000000002</v>
      </c>
      <c r="M693" s="9">
        <v>40.919620000000002</v>
      </c>
      <c r="N693" s="9">
        <v>42.674259999999997</v>
      </c>
      <c r="O693" s="14">
        <v>38.509639999999997</v>
      </c>
      <c r="P693" s="9">
        <v>40.948070000000001</v>
      </c>
      <c r="Q693" s="9">
        <v>43.042990000000003</v>
      </c>
      <c r="R693" s="23">
        <v>29.9041</v>
      </c>
      <c r="S693" s="8">
        <v>0.11068</v>
      </c>
      <c r="T693" s="9">
        <v>2.845E-2</v>
      </c>
      <c r="U693" s="24">
        <v>0.36873</v>
      </c>
    </row>
    <row r="694" spans="1:21" ht="12" customHeight="1" x14ac:dyDescent="0.25">
      <c r="A694" s="5">
        <v>1717</v>
      </c>
      <c r="B694" s="19" t="s">
        <v>344</v>
      </c>
      <c r="C694" s="19" t="s">
        <v>254</v>
      </c>
      <c r="D694" s="5" t="s">
        <v>345</v>
      </c>
      <c r="E694" s="6">
        <v>367140.64191162999</v>
      </c>
      <c r="F694" s="6">
        <v>6548142.2431680998</v>
      </c>
      <c r="G694" s="7" t="str">
        <f>HYPERLINK("https://minkarta.lantmateriet.se/?e=367140,64191163&amp;n=6548142,2431681&amp;z=12&amp;profile=flygbildmedgranser&amp;background=2&amp;boundaries=true","Visa")</f>
        <v>Visa</v>
      </c>
      <c r="H694" s="5" t="s">
        <v>13</v>
      </c>
      <c r="I694" s="8">
        <v>36.732799999999997</v>
      </c>
      <c r="J694" s="9">
        <v>38.486989999999999</v>
      </c>
      <c r="K694" s="9">
        <v>39.940959999999997</v>
      </c>
      <c r="L694" s="14">
        <v>37.651679999999999</v>
      </c>
      <c r="M694" s="9">
        <v>38.986490000000003</v>
      </c>
      <c r="N694" s="9">
        <v>42.457149999999999</v>
      </c>
      <c r="O694" s="14">
        <v>37.809710000000003</v>
      </c>
      <c r="P694" s="9">
        <v>39.971339999999998</v>
      </c>
      <c r="Q694" s="9">
        <v>42.82591</v>
      </c>
      <c r="R694" s="23">
        <v>29.925640000000001</v>
      </c>
      <c r="S694" s="8">
        <v>0.15803</v>
      </c>
      <c r="T694" s="9">
        <v>0.98485</v>
      </c>
      <c r="U694" s="24">
        <v>0.36875999999999998</v>
      </c>
    </row>
    <row r="695" spans="1:21" ht="12" customHeight="1" x14ac:dyDescent="0.25">
      <c r="A695" s="5">
        <v>1719</v>
      </c>
      <c r="B695" s="19" t="s">
        <v>344</v>
      </c>
      <c r="C695" s="19" t="s">
        <v>254</v>
      </c>
      <c r="D695" s="5" t="s">
        <v>345</v>
      </c>
      <c r="E695" s="6">
        <v>367131.26909009001</v>
      </c>
      <c r="F695" s="6">
        <v>6548143.5048339004</v>
      </c>
      <c r="G695" s="7" t="str">
        <f>HYPERLINK("https://minkarta.lantmateriet.se/?e=367131,26909009&amp;n=6548143,5048339&amp;z=12&amp;profile=flygbildmedgranser&amp;background=2&amp;boundaries=true","Visa")</f>
        <v>Visa</v>
      </c>
      <c r="H695" s="5" t="s">
        <v>16</v>
      </c>
      <c r="I695" s="8">
        <v>39.176940000000002</v>
      </c>
      <c r="J695" s="9">
        <v>41.140369999999997</v>
      </c>
      <c r="K695" s="9">
        <v>42.668950000000002</v>
      </c>
      <c r="L695" s="14">
        <v>40.111440000000002</v>
      </c>
      <c r="M695" s="9">
        <v>41.569479999999999</v>
      </c>
      <c r="N695" s="9">
        <v>43.187440000000002</v>
      </c>
      <c r="O695" s="14">
        <v>40.408630000000002</v>
      </c>
      <c r="P695" s="9">
        <v>41.597929999999998</v>
      </c>
      <c r="Q695" s="9">
        <v>43.216760000000001</v>
      </c>
      <c r="R695" s="23">
        <v>35.458649999999999</v>
      </c>
      <c r="S695" s="8">
        <v>0.29719000000000001</v>
      </c>
      <c r="T695" s="9">
        <v>2.845E-2</v>
      </c>
      <c r="U695" s="24">
        <v>2.9319999999999999E-2</v>
      </c>
    </row>
    <row r="696" spans="1:21" ht="12" customHeight="1" x14ac:dyDescent="0.25">
      <c r="A696" s="5">
        <v>1720</v>
      </c>
      <c r="B696" s="19" t="s">
        <v>344</v>
      </c>
      <c r="C696" s="19" t="s">
        <v>254</v>
      </c>
      <c r="D696" s="5" t="s">
        <v>345</v>
      </c>
      <c r="E696" s="6">
        <v>367135.31566680002</v>
      </c>
      <c r="F696" s="6">
        <v>6548138.1165913995</v>
      </c>
      <c r="G696" s="7" t="str">
        <f>HYPERLINK("https://minkarta.lantmateriet.se/?e=367135,3156668&amp;n=6548138,1165914&amp;z=12&amp;profile=flygbildmedgranser&amp;background=2&amp;boundaries=true","Visa")</f>
        <v>Visa</v>
      </c>
      <c r="H696" s="5" t="s">
        <v>15</v>
      </c>
      <c r="I696" s="8">
        <v>40.469470000000001</v>
      </c>
      <c r="J696" s="9">
        <v>48.501339999999999</v>
      </c>
      <c r="K696" s="9">
        <v>50.029919999999997</v>
      </c>
      <c r="L696" s="14">
        <v>41.402259999999998</v>
      </c>
      <c r="M696" s="9">
        <v>48.93045</v>
      </c>
      <c r="N696" s="9">
        <v>50.548409999999997</v>
      </c>
      <c r="O696" s="14">
        <v>41.535829999999997</v>
      </c>
      <c r="P696" s="9">
        <v>48.9589</v>
      </c>
      <c r="Q696" s="9">
        <v>50.577730000000003</v>
      </c>
      <c r="R696" s="23">
        <v>32.736579999999996</v>
      </c>
      <c r="S696" s="8">
        <v>0.13356999999999999</v>
      </c>
      <c r="T696" s="9">
        <v>2.845E-2</v>
      </c>
      <c r="U696" s="24">
        <v>2.9319999999999999E-2</v>
      </c>
    </row>
    <row r="697" spans="1:21" ht="12" customHeight="1" x14ac:dyDescent="0.25">
      <c r="A697" s="5">
        <v>1722</v>
      </c>
      <c r="B697" s="19" t="s">
        <v>346</v>
      </c>
      <c r="C697" s="19" t="s">
        <v>254</v>
      </c>
      <c r="D697" s="5" t="s">
        <v>347</v>
      </c>
      <c r="E697" s="6">
        <v>367112.42391635</v>
      </c>
      <c r="F697" s="6">
        <v>6548146.7445676001</v>
      </c>
      <c r="G697" s="7" t="str">
        <f>HYPERLINK("https://minkarta.lantmateriet.se/?e=367112,42391635&amp;n=6548146,7445676&amp;z=12&amp;profile=flygbildmedgranser&amp;background=2&amp;boundaries=true","Visa")</f>
        <v>Visa</v>
      </c>
      <c r="H697" s="5" t="s">
        <v>14</v>
      </c>
      <c r="I697" s="8">
        <v>37.191679999999998</v>
      </c>
      <c r="J697" s="9">
        <v>38.402270000000001</v>
      </c>
      <c r="K697" s="9">
        <v>39.856229999999996</v>
      </c>
      <c r="L697" s="14">
        <v>38.116320000000002</v>
      </c>
      <c r="M697" s="9">
        <v>38.901760000000003</v>
      </c>
      <c r="N697" s="9">
        <v>42.372419999999998</v>
      </c>
      <c r="O697" s="14">
        <v>38.496259999999999</v>
      </c>
      <c r="P697" s="9">
        <v>39.886580000000002</v>
      </c>
      <c r="Q697" s="9">
        <v>42.741160000000001</v>
      </c>
      <c r="R697" s="23">
        <v>34.599420000000002</v>
      </c>
      <c r="S697" s="8">
        <v>0.37994</v>
      </c>
      <c r="T697" s="9">
        <v>0.98482000000000003</v>
      </c>
      <c r="U697" s="24">
        <v>0.36874000000000001</v>
      </c>
    </row>
    <row r="698" spans="1:21" ht="12" customHeight="1" x14ac:dyDescent="0.25">
      <c r="A698" s="5">
        <v>1724</v>
      </c>
      <c r="B698" s="19" t="s">
        <v>346</v>
      </c>
      <c r="C698" s="19" t="s">
        <v>254</v>
      </c>
      <c r="D698" s="5" t="s">
        <v>347</v>
      </c>
      <c r="E698" s="6">
        <v>367109.68658633</v>
      </c>
      <c r="F698" s="6">
        <v>6548137.7589362003</v>
      </c>
      <c r="G698" s="7" t="str">
        <f>HYPERLINK("https://minkarta.lantmateriet.se/?e=367109,68658633&amp;n=6548137,7589362&amp;z=12&amp;profile=flygbildmedgranser&amp;background=2&amp;boundaries=true","Visa")</f>
        <v>Visa</v>
      </c>
      <c r="H698" s="5" t="s">
        <v>15</v>
      </c>
      <c r="I698" s="8">
        <v>40.620080000000002</v>
      </c>
      <c r="J698" s="9">
        <v>48.920659999999998</v>
      </c>
      <c r="K698" s="9">
        <v>50.449249999999999</v>
      </c>
      <c r="L698" s="14">
        <v>41.549370000000003</v>
      </c>
      <c r="M698" s="9">
        <v>49.349769999999999</v>
      </c>
      <c r="N698" s="9">
        <v>50.967739999999999</v>
      </c>
      <c r="O698" s="14">
        <v>41.622010000000003</v>
      </c>
      <c r="P698" s="9">
        <v>49.378219999999999</v>
      </c>
      <c r="Q698" s="9">
        <v>50.997059999999998</v>
      </c>
      <c r="R698" s="23">
        <v>20.25346</v>
      </c>
      <c r="S698" s="8">
        <v>7.2639999999999996E-2</v>
      </c>
      <c r="T698" s="9">
        <v>2.845E-2</v>
      </c>
      <c r="U698" s="24">
        <v>2.9319999999999999E-2</v>
      </c>
    </row>
    <row r="699" spans="1:21" ht="12" customHeight="1" x14ac:dyDescent="0.25">
      <c r="A699" s="5">
        <v>1726</v>
      </c>
      <c r="B699" s="19" t="s">
        <v>348</v>
      </c>
      <c r="C699" s="19" t="s">
        <v>254</v>
      </c>
      <c r="D699" s="5" t="s">
        <v>349</v>
      </c>
      <c r="E699" s="6">
        <v>367100.06839177001</v>
      </c>
      <c r="F699" s="6">
        <v>6548148.4735751003</v>
      </c>
      <c r="G699" s="7" t="str">
        <f>HYPERLINK("https://minkarta.lantmateriet.se/?e=367100,06839177&amp;n=6548148,4735751&amp;z=12&amp;profile=flygbildmedgranser&amp;background=2&amp;boundaries=true","Visa")</f>
        <v>Visa</v>
      </c>
      <c r="H699" s="5" t="s">
        <v>14</v>
      </c>
      <c r="I699" s="8">
        <v>36.99691</v>
      </c>
      <c r="J699" s="9">
        <v>40.551659999999998</v>
      </c>
      <c r="K699" s="9">
        <v>42.080240000000003</v>
      </c>
      <c r="L699" s="14">
        <v>37.930019999999999</v>
      </c>
      <c r="M699" s="9">
        <v>40.98077</v>
      </c>
      <c r="N699" s="9">
        <v>42.598730000000003</v>
      </c>
      <c r="O699" s="14">
        <v>38.113979999999998</v>
      </c>
      <c r="P699" s="9">
        <v>41.009219999999999</v>
      </c>
      <c r="Q699" s="9">
        <v>42.628050000000002</v>
      </c>
      <c r="R699" s="23">
        <v>27.588000000000001</v>
      </c>
      <c r="S699" s="8">
        <v>0.18396000000000001</v>
      </c>
      <c r="T699" s="9">
        <v>2.845E-2</v>
      </c>
      <c r="U699" s="24">
        <v>2.9319999999999999E-2</v>
      </c>
    </row>
    <row r="700" spans="1:21" ht="12" customHeight="1" x14ac:dyDescent="0.25">
      <c r="A700" s="5">
        <v>1728</v>
      </c>
      <c r="B700" s="19" t="s">
        <v>348</v>
      </c>
      <c r="C700" s="19" t="s">
        <v>254</v>
      </c>
      <c r="D700" s="5" t="s">
        <v>349</v>
      </c>
      <c r="E700" s="6">
        <v>367097.37710955</v>
      </c>
      <c r="F700" s="6">
        <v>6548139.5619291002</v>
      </c>
      <c r="G700" s="7" t="str">
        <f>HYPERLINK("https://minkarta.lantmateriet.se/?e=367097,37710955&amp;n=6548139,5619291&amp;z=12&amp;profile=flygbildmedgranser&amp;background=2&amp;boundaries=true","Visa")</f>
        <v>Visa</v>
      </c>
      <c r="H700" s="5" t="s">
        <v>15</v>
      </c>
      <c r="I700" s="8">
        <v>38.44502</v>
      </c>
      <c r="J700" s="9">
        <v>41.744190000000003</v>
      </c>
      <c r="K700" s="9">
        <v>43.272770000000001</v>
      </c>
      <c r="L700" s="14">
        <v>39.378259999999997</v>
      </c>
      <c r="M700" s="9">
        <v>42.173299999999998</v>
      </c>
      <c r="N700" s="9">
        <v>43.791260000000001</v>
      </c>
      <c r="O700" s="14">
        <v>39.515070000000001</v>
      </c>
      <c r="P700" s="9">
        <v>42.201749999999997</v>
      </c>
      <c r="Q700" s="9">
        <v>43.82058</v>
      </c>
      <c r="R700" s="23">
        <v>30.895589999999999</v>
      </c>
      <c r="S700" s="8">
        <v>0.13680999999999999</v>
      </c>
      <c r="T700" s="9">
        <v>2.845E-2</v>
      </c>
      <c r="U700" s="24">
        <v>2.9319999999999999E-2</v>
      </c>
    </row>
    <row r="701" spans="1:21" ht="12" customHeight="1" x14ac:dyDescent="0.25">
      <c r="A701" s="5">
        <v>1730</v>
      </c>
      <c r="B701" s="19" t="s">
        <v>350</v>
      </c>
      <c r="C701" s="19" t="s">
        <v>254</v>
      </c>
      <c r="D701" s="5" t="s">
        <v>351</v>
      </c>
      <c r="E701" s="6">
        <v>367087.68788859999</v>
      </c>
      <c r="F701" s="6">
        <v>6548150.1655759998</v>
      </c>
      <c r="G701" s="7" t="str">
        <f>HYPERLINK("https://minkarta.lantmateriet.se/?e=367087,6878886&amp;n=6548150,165576&amp;z=12&amp;profile=flygbildmedgranser&amp;background=2&amp;boundaries=true","Visa")</f>
        <v>Visa</v>
      </c>
      <c r="H701" s="5" t="s">
        <v>14</v>
      </c>
      <c r="I701" s="8">
        <v>36.332720000000002</v>
      </c>
      <c r="J701" s="9">
        <v>40.683059999999998</v>
      </c>
      <c r="K701" s="9">
        <v>42.211640000000003</v>
      </c>
      <c r="L701" s="14">
        <v>37.265630000000002</v>
      </c>
      <c r="M701" s="9">
        <v>41.112169999999999</v>
      </c>
      <c r="N701" s="9">
        <v>44.051250000000003</v>
      </c>
      <c r="O701" s="14">
        <v>37.575980000000001</v>
      </c>
      <c r="P701" s="9">
        <v>41.56541</v>
      </c>
      <c r="Q701" s="9">
        <v>44.419989999999999</v>
      </c>
      <c r="R701" s="23">
        <v>32.600859999999997</v>
      </c>
      <c r="S701" s="8">
        <v>0.31035000000000001</v>
      </c>
      <c r="T701" s="9">
        <v>0.45323999999999998</v>
      </c>
      <c r="U701" s="24">
        <v>0.36874000000000001</v>
      </c>
    </row>
    <row r="702" spans="1:21" ht="12" customHeight="1" x14ac:dyDescent="0.25">
      <c r="A702" s="5">
        <v>1731</v>
      </c>
      <c r="B702" s="19" t="s">
        <v>350</v>
      </c>
      <c r="C702" s="19" t="s">
        <v>254</v>
      </c>
      <c r="D702" s="5" t="s">
        <v>351</v>
      </c>
      <c r="E702" s="6">
        <v>367081.77792692999</v>
      </c>
      <c r="F702" s="6">
        <v>6548147.0233894</v>
      </c>
      <c r="G702" s="7" t="str">
        <f>HYPERLINK("https://minkarta.lantmateriet.se/?e=367081,77792693&amp;n=6548147,0233894&amp;z=12&amp;profile=flygbildmedgranser&amp;background=2&amp;boundaries=true","Visa")</f>
        <v>Visa</v>
      </c>
      <c r="H702" s="5" t="s">
        <v>16</v>
      </c>
      <c r="I702" s="8">
        <v>39.951749999999997</v>
      </c>
      <c r="J702" s="9">
        <v>47.2652</v>
      </c>
      <c r="K702" s="9">
        <v>48.793779999999998</v>
      </c>
      <c r="L702" s="14">
        <v>40.893740000000001</v>
      </c>
      <c r="M702" s="9">
        <v>47.694310000000002</v>
      </c>
      <c r="N702" s="9">
        <v>49.312269999999998</v>
      </c>
      <c r="O702" s="14">
        <v>41.053730000000002</v>
      </c>
      <c r="P702" s="9">
        <v>47.722760000000001</v>
      </c>
      <c r="Q702" s="9">
        <v>49.341589999999997</v>
      </c>
      <c r="R702" s="23">
        <v>25.245239999999999</v>
      </c>
      <c r="S702" s="8">
        <v>0.15998999999999999</v>
      </c>
      <c r="T702" s="9">
        <v>2.845E-2</v>
      </c>
      <c r="U702" s="24">
        <v>2.9319999999999999E-2</v>
      </c>
    </row>
    <row r="703" spans="1:21" ht="12" customHeight="1" x14ac:dyDescent="0.25">
      <c r="A703" s="5">
        <v>1732</v>
      </c>
      <c r="B703" s="19" t="s">
        <v>350</v>
      </c>
      <c r="C703" s="19" t="s">
        <v>254</v>
      </c>
      <c r="D703" s="5" t="s">
        <v>351</v>
      </c>
      <c r="E703" s="6">
        <v>367084.96511340002</v>
      </c>
      <c r="F703" s="6">
        <v>6548141.1374279996</v>
      </c>
      <c r="G703" s="7" t="str">
        <f>HYPERLINK("https://minkarta.lantmateriet.se/?e=367084,9651134&amp;n=6548141,137428&amp;z=12&amp;profile=flygbildmedgranser&amp;background=2&amp;boundaries=true","Visa")</f>
        <v>Visa</v>
      </c>
      <c r="H703" s="5" t="s">
        <v>15</v>
      </c>
      <c r="I703" s="8">
        <v>41.421010000000003</v>
      </c>
      <c r="J703" s="9">
        <v>48.80162</v>
      </c>
      <c r="K703" s="9">
        <v>50.330199999999998</v>
      </c>
      <c r="L703" s="14">
        <v>42.356740000000002</v>
      </c>
      <c r="M703" s="9">
        <v>49.230730000000001</v>
      </c>
      <c r="N703" s="9">
        <v>50.848689999999998</v>
      </c>
      <c r="O703" s="14">
        <v>42.480789999999999</v>
      </c>
      <c r="P703" s="9">
        <v>49.259180000000001</v>
      </c>
      <c r="Q703" s="9">
        <v>50.878010000000003</v>
      </c>
      <c r="R703" s="23">
        <v>30.301939999999998</v>
      </c>
      <c r="S703" s="8">
        <v>0.12404999999999999</v>
      </c>
      <c r="T703" s="9">
        <v>2.845E-2</v>
      </c>
      <c r="U703" s="24">
        <v>2.9319999999999999E-2</v>
      </c>
    </row>
    <row r="704" spans="1:21" ht="12" customHeight="1" x14ac:dyDescent="0.25">
      <c r="A704" s="5">
        <v>1733</v>
      </c>
      <c r="B704" s="19" t="s">
        <v>352</v>
      </c>
      <c r="C704" s="19" t="s">
        <v>254</v>
      </c>
      <c r="D704" s="5" t="s">
        <v>353</v>
      </c>
      <c r="E704" s="6">
        <v>367064.77606275002</v>
      </c>
      <c r="F704" s="6">
        <v>6548151.9045740999</v>
      </c>
      <c r="G704" s="7" t="str">
        <f>HYPERLINK("https://minkarta.lantmateriet.se/?e=367064,77606275&amp;n=6548151,9045741&amp;z=12&amp;profile=flygbildmedgranser&amp;background=2&amp;boundaries=true","Visa")</f>
        <v>Visa</v>
      </c>
      <c r="H704" s="5" t="s">
        <v>13</v>
      </c>
      <c r="I704" s="8">
        <v>34.412999999999997</v>
      </c>
      <c r="J704" s="9">
        <v>40.872480000000003</v>
      </c>
      <c r="K704" s="9">
        <v>42.401060000000001</v>
      </c>
      <c r="L704" s="14">
        <v>35.340049999999998</v>
      </c>
      <c r="M704" s="9">
        <v>41.301589999999997</v>
      </c>
      <c r="N704" s="9">
        <v>42.919559999999997</v>
      </c>
      <c r="O704" s="14">
        <v>35.647750000000002</v>
      </c>
      <c r="P704" s="9">
        <v>41.330039999999997</v>
      </c>
      <c r="Q704" s="9">
        <v>42.948880000000003</v>
      </c>
      <c r="R704" s="23">
        <v>18.999739999999999</v>
      </c>
      <c r="S704" s="8">
        <v>0.30769999999999997</v>
      </c>
      <c r="T704" s="9">
        <v>2.845E-2</v>
      </c>
      <c r="U704" s="24">
        <v>2.9319999999999999E-2</v>
      </c>
    </row>
    <row r="705" spans="1:21" ht="12" customHeight="1" x14ac:dyDescent="0.25">
      <c r="A705" s="5">
        <v>1735</v>
      </c>
      <c r="B705" s="19" t="s">
        <v>352</v>
      </c>
      <c r="C705" s="19" t="s">
        <v>254</v>
      </c>
      <c r="D705" s="5" t="s">
        <v>353</v>
      </c>
      <c r="E705" s="6">
        <v>367055.79943945003</v>
      </c>
      <c r="F705" s="6">
        <v>6548154.6539305998</v>
      </c>
      <c r="G705" s="7" t="str">
        <f>HYPERLINK("https://minkarta.lantmateriet.se/?e=367055,79943945&amp;n=6548154,6539306&amp;z=12&amp;profile=flygbildmedgranser&amp;background=2&amp;boundaries=true","Visa")</f>
        <v>Visa</v>
      </c>
      <c r="H705" s="5" t="s">
        <v>16</v>
      </c>
      <c r="I705" s="8">
        <v>40.706200000000003</v>
      </c>
      <c r="J705" s="9">
        <v>47.133800000000001</v>
      </c>
      <c r="K705" s="9">
        <v>48.662379999999999</v>
      </c>
      <c r="L705" s="14">
        <v>41.635440000000003</v>
      </c>
      <c r="M705" s="9">
        <v>47.562910000000002</v>
      </c>
      <c r="N705" s="9">
        <v>49.180880000000002</v>
      </c>
      <c r="O705" s="14">
        <v>41.854059999999997</v>
      </c>
      <c r="P705" s="9">
        <v>47.591360000000002</v>
      </c>
      <c r="Q705" s="9">
        <v>49.2102</v>
      </c>
      <c r="R705" s="23">
        <v>37.32846</v>
      </c>
      <c r="S705" s="8">
        <v>0.21862000000000001</v>
      </c>
      <c r="T705" s="9">
        <v>2.845E-2</v>
      </c>
      <c r="U705" s="24">
        <v>2.9319999999999999E-2</v>
      </c>
    </row>
    <row r="706" spans="1:21" ht="12" customHeight="1" x14ac:dyDescent="0.25">
      <c r="A706" s="5">
        <v>1736</v>
      </c>
      <c r="B706" s="19" t="s">
        <v>352</v>
      </c>
      <c r="C706" s="19" t="s">
        <v>254</v>
      </c>
      <c r="D706" s="5" t="s">
        <v>353</v>
      </c>
      <c r="E706" s="6">
        <v>367058.92207312002</v>
      </c>
      <c r="F706" s="6">
        <v>6548148.8199402001</v>
      </c>
      <c r="G706" s="7" t="str">
        <f>HYPERLINK("https://minkarta.lantmateriet.se/?e=367058,92207312&amp;n=6548148,8199402&amp;z=12&amp;profile=flygbildmedgranser&amp;background=2&amp;boundaries=true","Visa")</f>
        <v>Visa</v>
      </c>
      <c r="H706" s="5" t="s">
        <v>15</v>
      </c>
      <c r="I706" s="8">
        <v>42.541780000000003</v>
      </c>
      <c r="J706" s="9">
        <v>49.568469999999998</v>
      </c>
      <c r="K706" s="9">
        <v>51.097050000000003</v>
      </c>
      <c r="L706" s="14">
        <v>43.472290000000001</v>
      </c>
      <c r="M706" s="9">
        <v>49.997570000000003</v>
      </c>
      <c r="N706" s="9">
        <v>51.615540000000003</v>
      </c>
      <c r="O706" s="14">
        <v>43.562579999999997</v>
      </c>
      <c r="P706" s="9">
        <v>50.026020000000003</v>
      </c>
      <c r="Q706" s="9">
        <v>51.644860000000001</v>
      </c>
      <c r="R706" s="23">
        <v>26.461300000000001</v>
      </c>
      <c r="S706" s="8">
        <v>9.0289999999999995E-2</v>
      </c>
      <c r="T706" s="9">
        <v>2.845E-2</v>
      </c>
      <c r="U706" s="24">
        <v>2.9319999999999999E-2</v>
      </c>
    </row>
    <row r="707" spans="1:21" ht="12" customHeight="1" x14ac:dyDescent="0.25">
      <c r="A707" s="5">
        <v>1737</v>
      </c>
      <c r="B707" s="19" t="s">
        <v>354</v>
      </c>
      <c r="C707" s="19" t="s">
        <v>254</v>
      </c>
      <c r="D707" s="5" t="s">
        <v>355</v>
      </c>
      <c r="E707" s="6">
        <v>367070.78208015999</v>
      </c>
      <c r="F707" s="6">
        <v>6548163.1606315002</v>
      </c>
      <c r="G707" s="7" t="str">
        <f>HYPERLINK("https://minkarta.lantmateriet.se/?e=367070,78208016&amp;n=6548163,1606315&amp;z=12&amp;profile=flygbildmedgranser&amp;background=2&amp;boundaries=true","Visa")</f>
        <v>Visa</v>
      </c>
      <c r="H707" s="5" t="s">
        <v>13</v>
      </c>
      <c r="I707" s="8">
        <v>35.762140000000002</v>
      </c>
      <c r="J707" s="9">
        <v>45.184869999999997</v>
      </c>
      <c r="K707" s="9">
        <v>46.713450000000002</v>
      </c>
      <c r="L707" s="14">
        <v>36.687440000000002</v>
      </c>
      <c r="M707" s="9">
        <v>45.613979999999998</v>
      </c>
      <c r="N707" s="9">
        <v>47.231949999999998</v>
      </c>
      <c r="O707" s="14">
        <v>37.010669999999998</v>
      </c>
      <c r="P707" s="9">
        <v>45.642429999999997</v>
      </c>
      <c r="Q707" s="9">
        <v>47.26126</v>
      </c>
      <c r="R707" s="23">
        <v>29.823340000000002</v>
      </c>
      <c r="S707" s="8">
        <v>0.32323000000000002</v>
      </c>
      <c r="T707" s="9">
        <v>2.845E-2</v>
      </c>
      <c r="U707" s="24">
        <v>2.9309999999999999E-2</v>
      </c>
    </row>
    <row r="708" spans="1:21" ht="12" customHeight="1" x14ac:dyDescent="0.25">
      <c r="A708" s="5">
        <v>1739</v>
      </c>
      <c r="B708" s="19" t="s">
        <v>354</v>
      </c>
      <c r="C708" s="19" t="s">
        <v>254</v>
      </c>
      <c r="D708" s="5" t="s">
        <v>355</v>
      </c>
      <c r="E708" s="6">
        <v>367061.73042212997</v>
      </c>
      <c r="F708" s="6">
        <v>6548165.8733735001</v>
      </c>
      <c r="G708" s="7" t="str">
        <f>HYPERLINK("https://minkarta.lantmateriet.se/?e=367061,73042213&amp;n=6548165,8733735&amp;z=12&amp;profile=flygbildmedgranser&amp;background=2&amp;boundaries=true","Visa")</f>
        <v>Visa</v>
      </c>
      <c r="H708" s="5" t="s">
        <v>16</v>
      </c>
      <c r="I708" s="8">
        <v>40.485570000000003</v>
      </c>
      <c r="J708" s="9">
        <v>44.808959999999999</v>
      </c>
      <c r="K708" s="9">
        <v>46.337539999999997</v>
      </c>
      <c r="L708" s="14">
        <v>41.412370000000003</v>
      </c>
      <c r="M708" s="9">
        <v>45.238059999999997</v>
      </c>
      <c r="N708" s="9">
        <v>46.856029999999997</v>
      </c>
      <c r="O708" s="14">
        <v>41.63505</v>
      </c>
      <c r="P708" s="9">
        <v>45.266509999999997</v>
      </c>
      <c r="Q708" s="9">
        <v>46.885350000000003</v>
      </c>
      <c r="R708" s="23">
        <v>36.802109999999999</v>
      </c>
      <c r="S708" s="8">
        <v>0.22267999999999999</v>
      </c>
      <c r="T708" s="9">
        <v>2.845E-2</v>
      </c>
      <c r="U708" s="24">
        <v>2.9319999999999999E-2</v>
      </c>
    </row>
    <row r="709" spans="1:21" ht="12" customHeight="1" x14ac:dyDescent="0.25">
      <c r="A709" s="5">
        <v>1741</v>
      </c>
      <c r="B709" s="19" t="s">
        <v>356</v>
      </c>
      <c r="C709" s="19" t="s">
        <v>254</v>
      </c>
      <c r="D709" s="5" t="s">
        <v>357</v>
      </c>
      <c r="E709" s="6">
        <v>367076.84307177999</v>
      </c>
      <c r="F709" s="6">
        <v>6548174.0236037001</v>
      </c>
      <c r="G709" s="7" t="str">
        <f>HYPERLINK("https://minkarta.lantmateriet.se/?e=367076,84307178&amp;n=6548174,0236037&amp;z=12&amp;profile=flygbildmedgranser&amp;background=2&amp;boundaries=true","Visa")</f>
        <v>Visa</v>
      </c>
      <c r="H709" s="5" t="s">
        <v>13</v>
      </c>
      <c r="I709" s="8">
        <v>35.976520000000001</v>
      </c>
      <c r="J709" s="9">
        <v>37.411790000000003</v>
      </c>
      <c r="K709" s="9">
        <v>38.940359999999998</v>
      </c>
      <c r="L709" s="14">
        <v>36.893259999999998</v>
      </c>
      <c r="M709" s="9">
        <v>37.840890000000002</v>
      </c>
      <c r="N709" s="9">
        <v>40.471260000000001</v>
      </c>
      <c r="O709" s="14">
        <v>37.119340000000001</v>
      </c>
      <c r="P709" s="9">
        <v>37.985419999999998</v>
      </c>
      <c r="Q709" s="9">
        <v>40.840000000000003</v>
      </c>
      <c r="R709" s="23">
        <v>31.432169999999999</v>
      </c>
      <c r="S709" s="8">
        <v>0.22608</v>
      </c>
      <c r="T709" s="9">
        <v>0.14452999999999999</v>
      </c>
      <c r="U709" s="24">
        <v>0.36874000000000001</v>
      </c>
    </row>
    <row r="710" spans="1:21" ht="12" customHeight="1" x14ac:dyDescent="0.25">
      <c r="A710" s="5">
        <v>1743</v>
      </c>
      <c r="B710" s="19" t="s">
        <v>356</v>
      </c>
      <c r="C710" s="19" t="s">
        <v>254</v>
      </c>
      <c r="D710" s="5" t="s">
        <v>357</v>
      </c>
      <c r="E710" s="6">
        <v>367067.74293021997</v>
      </c>
      <c r="F710" s="6">
        <v>6548176.7784003001</v>
      </c>
      <c r="G710" s="7" t="str">
        <f>HYPERLINK("https://minkarta.lantmateriet.se/?e=367067,74293022&amp;n=6548176,7784003&amp;z=12&amp;profile=flygbildmedgranser&amp;background=2&amp;boundaries=true","Visa")</f>
        <v>Visa</v>
      </c>
      <c r="H710" s="5" t="s">
        <v>16</v>
      </c>
      <c r="I710" s="8">
        <v>40.313290000000002</v>
      </c>
      <c r="J710" s="9">
        <v>45.097709999999999</v>
      </c>
      <c r="K710" s="9">
        <v>46.626289999999997</v>
      </c>
      <c r="L710" s="14">
        <v>41.239579999999997</v>
      </c>
      <c r="M710" s="9">
        <v>45.526820000000001</v>
      </c>
      <c r="N710" s="9">
        <v>47.14479</v>
      </c>
      <c r="O710" s="14">
        <v>41.511740000000003</v>
      </c>
      <c r="P710" s="9">
        <v>45.55527</v>
      </c>
      <c r="Q710" s="9">
        <v>47.174109999999999</v>
      </c>
      <c r="R710" s="23">
        <v>37.964759999999998</v>
      </c>
      <c r="S710" s="8">
        <v>0.27216000000000001</v>
      </c>
      <c r="T710" s="9">
        <v>2.845E-2</v>
      </c>
      <c r="U710" s="24">
        <v>2.9319999999999999E-2</v>
      </c>
    </row>
    <row r="711" spans="1:21" ht="12" customHeight="1" x14ac:dyDescent="0.25">
      <c r="A711" s="5">
        <v>1745</v>
      </c>
      <c r="B711" s="19" t="s">
        <v>358</v>
      </c>
      <c r="C711" s="19" t="s">
        <v>254</v>
      </c>
      <c r="D711" s="5" t="s">
        <v>359</v>
      </c>
      <c r="E711" s="6">
        <v>367082.73807014001</v>
      </c>
      <c r="F711" s="6">
        <v>6548185.0995982997</v>
      </c>
      <c r="G711" s="7" t="str">
        <f>HYPERLINK("https://minkarta.lantmateriet.se/?e=367082,73807014&amp;n=6548185,0995983&amp;z=12&amp;profile=flygbildmedgranser&amp;background=2&amp;boundaries=true","Visa")</f>
        <v>Visa</v>
      </c>
      <c r="H711" s="5" t="s">
        <v>13</v>
      </c>
      <c r="I711" s="8">
        <v>36.848610000000001</v>
      </c>
      <c r="J711" s="9">
        <v>39.455570000000002</v>
      </c>
      <c r="K711" s="9">
        <v>40.98415</v>
      </c>
      <c r="L711" s="14">
        <v>37.793900000000001</v>
      </c>
      <c r="M711" s="9">
        <v>39.884680000000003</v>
      </c>
      <c r="N711" s="9">
        <v>42.784109999999998</v>
      </c>
      <c r="O711" s="14">
        <v>37.912509999999997</v>
      </c>
      <c r="P711" s="9">
        <v>40.298270000000002</v>
      </c>
      <c r="Q711" s="9">
        <v>43.152850000000001</v>
      </c>
      <c r="R711" s="23">
        <v>19.781469999999999</v>
      </c>
      <c r="S711" s="8">
        <v>0.11860999999999999</v>
      </c>
      <c r="T711" s="9">
        <v>0.41359000000000001</v>
      </c>
      <c r="U711" s="24">
        <v>0.36874000000000001</v>
      </c>
    </row>
    <row r="712" spans="1:21" ht="12" customHeight="1" x14ac:dyDescent="0.25">
      <c r="A712" s="5">
        <v>1747</v>
      </c>
      <c r="B712" s="19" t="s">
        <v>358</v>
      </c>
      <c r="C712" s="19" t="s">
        <v>254</v>
      </c>
      <c r="D712" s="5" t="s">
        <v>359</v>
      </c>
      <c r="E712" s="6">
        <v>367073.71393194998</v>
      </c>
      <c r="F712" s="6">
        <v>6548187.8379060002</v>
      </c>
      <c r="G712" s="7" t="str">
        <f>HYPERLINK("https://minkarta.lantmateriet.se/?e=367073,71393195&amp;n=6548187,837906&amp;z=12&amp;profile=flygbildmedgranser&amp;background=2&amp;boundaries=true","Visa")</f>
        <v>Visa</v>
      </c>
      <c r="H712" s="5" t="s">
        <v>16</v>
      </c>
      <c r="I712" s="8">
        <v>41.574249999999999</v>
      </c>
      <c r="J712" s="9">
        <v>47.503749999999997</v>
      </c>
      <c r="K712" s="9">
        <v>49.032330000000002</v>
      </c>
      <c r="L712" s="14">
        <v>42.506869999999999</v>
      </c>
      <c r="M712" s="9">
        <v>47.932859999999998</v>
      </c>
      <c r="N712" s="9">
        <v>49.550829999999998</v>
      </c>
      <c r="O712" s="14">
        <v>42.701529999999998</v>
      </c>
      <c r="P712" s="9">
        <v>47.961309999999997</v>
      </c>
      <c r="Q712" s="9">
        <v>49.580150000000003</v>
      </c>
      <c r="R712" s="23">
        <v>36.066400000000002</v>
      </c>
      <c r="S712" s="8">
        <v>0.19466</v>
      </c>
      <c r="T712" s="9">
        <v>2.845E-2</v>
      </c>
      <c r="U712" s="24">
        <v>2.9319999999999999E-2</v>
      </c>
    </row>
    <row r="713" spans="1:21" ht="12" customHeight="1" x14ac:dyDescent="0.25">
      <c r="A713" s="5">
        <v>1749</v>
      </c>
      <c r="B713" s="19" t="s">
        <v>360</v>
      </c>
      <c r="C713" s="19" t="s">
        <v>254</v>
      </c>
      <c r="D713" s="5" t="s">
        <v>361</v>
      </c>
      <c r="E713" s="6">
        <v>367088.77056620002</v>
      </c>
      <c r="F713" s="6">
        <v>6548196.1030853</v>
      </c>
      <c r="G713" s="7" t="str">
        <f>HYPERLINK("https://minkarta.lantmateriet.se/?e=367088,7705662&amp;n=6548196,1030853&amp;z=12&amp;profile=flygbildmedgranser&amp;background=2&amp;boundaries=true","Visa")</f>
        <v>Visa</v>
      </c>
      <c r="H713" s="5" t="s">
        <v>13</v>
      </c>
      <c r="I713" s="8">
        <v>37.803170000000001</v>
      </c>
      <c r="J713" s="9">
        <v>39.73312</v>
      </c>
      <c r="K713" s="9">
        <v>41.261699999999998</v>
      </c>
      <c r="L713" s="14">
        <v>38.730730000000001</v>
      </c>
      <c r="M713" s="9">
        <v>40.162230000000001</v>
      </c>
      <c r="N713" s="9">
        <v>41.780200000000001</v>
      </c>
      <c r="O713" s="14">
        <v>38.852449999999997</v>
      </c>
      <c r="P713" s="9">
        <v>40.19068</v>
      </c>
      <c r="Q713" s="9">
        <v>41.93045</v>
      </c>
      <c r="R713" s="23">
        <v>31.553540000000002</v>
      </c>
      <c r="S713" s="8">
        <v>0.12171999999999999</v>
      </c>
      <c r="T713" s="9">
        <v>2.845E-2</v>
      </c>
      <c r="U713" s="24">
        <v>0.15024999999999999</v>
      </c>
    </row>
    <row r="714" spans="1:21" ht="12" customHeight="1" x14ac:dyDescent="0.25">
      <c r="A714" s="5">
        <v>1751</v>
      </c>
      <c r="B714" s="19" t="s">
        <v>360</v>
      </c>
      <c r="C714" s="19" t="s">
        <v>254</v>
      </c>
      <c r="D714" s="5" t="s">
        <v>361</v>
      </c>
      <c r="E714" s="6">
        <v>367079.61543571</v>
      </c>
      <c r="F714" s="6">
        <v>6548198.8944183998</v>
      </c>
      <c r="G714" s="7" t="str">
        <f>HYPERLINK("https://minkarta.lantmateriet.se/?e=367079,61543571&amp;n=6548198,8944184&amp;z=12&amp;profile=flygbildmedgranser&amp;background=2&amp;boundaries=true","Visa")</f>
        <v>Visa</v>
      </c>
      <c r="H714" s="5" t="s">
        <v>16</v>
      </c>
      <c r="I714" s="8">
        <v>39.974690000000002</v>
      </c>
      <c r="J714" s="9">
        <v>43.621899999999997</v>
      </c>
      <c r="K714" s="9">
        <v>45.150480000000002</v>
      </c>
      <c r="L714" s="14">
        <v>40.904649999999997</v>
      </c>
      <c r="M714" s="9">
        <v>44.051009999999998</v>
      </c>
      <c r="N714" s="9">
        <v>45.668970000000002</v>
      </c>
      <c r="O714" s="14">
        <v>41.135660000000001</v>
      </c>
      <c r="P714" s="9">
        <v>44.079459999999997</v>
      </c>
      <c r="Q714" s="9">
        <v>45.69829</v>
      </c>
      <c r="R714" s="23">
        <v>38.131610000000002</v>
      </c>
      <c r="S714" s="8">
        <v>0.23100999999999999</v>
      </c>
      <c r="T714" s="9">
        <v>2.845E-2</v>
      </c>
      <c r="U714" s="24">
        <v>2.9319999999999999E-2</v>
      </c>
    </row>
    <row r="715" spans="1:21" ht="12" customHeight="1" x14ac:dyDescent="0.25">
      <c r="A715" s="5">
        <v>1754</v>
      </c>
      <c r="B715" s="19" t="s">
        <v>362</v>
      </c>
      <c r="C715" s="19" t="s">
        <v>254</v>
      </c>
      <c r="D715" s="5" t="s">
        <v>363</v>
      </c>
      <c r="E715" s="6">
        <v>367094.68207705999</v>
      </c>
      <c r="F715" s="6">
        <v>6548207.1826211996</v>
      </c>
      <c r="G715" s="7" t="str">
        <f>HYPERLINK("https://minkarta.lantmateriet.se/?e=367094,68207706&amp;n=6548207,1826212&amp;z=12&amp;profile=flygbildmedgranser&amp;background=2&amp;boundaries=true","Visa")</f>
        <v>Visa</v>
      </c>
      <c r="H715" s="5" t="s">
        <v>13</v>
      </c>
      <c r="I715" s="8">
        <v>37.693089999999998</v>
      </c>
      <c r="J715" s="9">
        <v>38.969410000000003</v>
      </c>
      <c r="K715" s="9">
        <v>40.497990000000001</v>
      </c>
      <c r="L715" s="14">
        <v>38.631749999999997</v>
      </c>
      <c r="M715" s="9">
        <v>39.398510000000002</v>
      </c>
      <c r="N715" s="9">
        <v>41.929020000000001</v>
      </c>
      <c r="O715" s="14">
        <v>38.864330000000002</v>
      </c>
      <c r="P715" s="9">
        <v>39.443179999999998</v>
      </c>
      <c r="Q715" s="9">
        <v>42.297759999999997</v>
      </c>
      <c r="R715" s="23">
        <v>33.821559999999998</v>
      </c>
      <c r="S715" s="8">
        <v>0.23258000000000001</v>
      </c>
      <c r="T715" s="9">
        <v>4.4670000000000001E-2</v>
      </c>
      <c r="U715" s="24">
        <v>0.36874000000000001</v>
      </c>
    </row>
    <row r="716" spans="1:21" ht="12" customHeight="1" x14ac:dyDescent="0.25">
      <c r="A716" s="5">
        <v>1756</v>
      </c>
      <c r="B716" s="19" t="s">
        <v>362</v>
      </c>
      <c r="C716" s="19" t="s">
        <v>254</v>
      </c>
      <c r="D716" s="5" t="s">
        <v>363</v>
      </c>
      <c r="E716" s="6">
        <v>367085.64642464003</v>
      </c>
      <c r="F716" s="6">
        <v>6548209.9003817998</v>
      </c>
      <c r="G716" s="7" t="str">
        <f>HYPERLINK("https://minkarta.lantmateriet.se/?e=367085,64642464&amp;n=6548209,9003818&amp;z=12&amp;profile=flygbildmedgranser&amp;background=2&amp;boundaries=true","Visa")</f>
        <v>Visa</v>
      </c>
      <c r="H716" s="5" t="s">
        <v>16</v>
      </c>
      <c r="I716" s="8">
        <v>40.405670000000001</v>
      </c>
      <c r="J716" s="9">
        <v>46.095149999999997</v>
      </c>
      <c r="K716" s="9">
        <v>47.623730000000002</v>
      </c>
      <c r="L716" s="14">
        <v>41.325150000000001</v>
      </c>
      <c r="M716" s="9">
        <v>46.524259999999998</v>
      </c>
      <c r="N716" s="9">
        <v>48.142229999999998</v>
      </c>
      <c r="O716" s="14">
        <v>41.432749999999999</v>
      </c>
      <c r="P716" s="9">
        <v>46.552709999999998</v>
      </c>
      <c r="Q716" s="9">
        <v>48.171550000000003</v>
      </c>
      <c r="R716" s="23">
        <v>36.096670000000003</v>
      </c>
      <c r="S716" s="8">
        <v>0.1076</v>
      </c>
      <c r="T716" s="9">
        <v>2.845E-2</v>
      </c>
      <c r="U716" s="24">
        <v>2.9319999999999999E-2</v>
      </c>
    </row>
    <row r="717" spans="1:21" ht="12" customHeight="1" x14ac:dyDescent="0.25">
      <c r="A717" s="5">
        <v>1757</v>
      </c>
      <c r="B717" s="19" t="s">
        <v>364</v>
      </c>
      <c r="C717" s="19" t="s">
        <v>12</v>
      </c>
      <c r="D717" s="5" t="s">
        <v>365</v>
      </c>
      <c r="E717" s="6">
        <v>367127.27844572999</v>
      </c>
      <c r="F717" s="6">
        <v>6548210.0452161003</v>
      </c>
      <c r="G717" s="7" t="str">
        <f>HYPERLINK("https://minkarta.lantmateriet.se/?e=367127,27844573&amp;n=6548210,0452161&amp;z=12&amp;profile=flygbildmedgranser&amp;background=2&amp;boundaries=true","Visa")</f>
        <v>Visa</v>
      </c>
      <c r="H717" s="5" t="s">
        <v>13</v>
      </c>
      <c r="I717" s="8">
        <v>36.796149999999997</v>
      </c>
      <c r="J717" s="9">
        <v>44.667929999999998</v>
      </c>
      <c r="K717" s="9">
        <v>46.196510000000004</v>
      </c>
      <c r="L717" s="14">
        <v>37.733310000000003</v>
      </c>
      <c r="M717" s="9">
        <v>45.097029999999997</v>
      </c>
      <c r="N717" s="9">
        <v>47.445039999999999</v>
      </c>
      <c r="O717" s="14">
        <v>37.982849999999999</v>
      </c>
      <c r="P717" s="9">
        <v>45.125480000000003</v>
      </c>
      <c r="Q717" s="9">
        <v>47.813769999999998</v>
      </c>
      <c r="R717" s="23">
        <v>21.45748</v>
      </c>
      <c r="S717" s="8">
        <v>0.24954000000000001</v>
      </c>
      <c r="T717" s="9">
        <v>2.845E-2</v>
      </c>
      <c r="U717" s="24">
        <v>0.36873</v>
      </c>
    </row>
    <row r="718" spans="1:21" ht="12" customHeight="1" x14ac:dyDescent="0.25">
      <c r="A718" s="5">
        <v>1758</v>
      </c>
      <c r="B718" s="19" t="s">
        <v>364</v>
      </c>
      <c r="C718" s="19" t="s">
        <v>12</v>
      </c>
      <c r="D718" s="5" t="s">
        <v>365</v>
      </c>
      <c r="E718" s="6">
        <v>367126.09728574997</v>
      </c>
      <c r="F718" s="6">
        <v>6548218.2479470996</v>
      </c>
      <c r="G718" s="7" t="str">
        <f>HYPERLINK("https://minkarta.lantmateriet.se/?e=367126,09728575&amp;n=6548218,2479471&amp;z=12&amp;profile=flygbildmedgranser&amp;background=2&amp;boundaries=true","Visa")</f>
        <v>Visa</v>
      </c>
      <c r="H718" s="5" t="s">
        <v>14</v>
      </c>
      <c r="I718" s="8">
        <v>36.517539999999997</v>
      </c>
      <c r="J718" s="9">
        <v>43.310600000000001</v>
      </c>
      <c r="K718" s="9">
        <v>44.764560000000003</v>
      </c>
      <c r="L718" s="14">
        <v>37.454610000000002</v>
      </c>
      <c r="M718" s="9">
        <v>43.810090000000002</v>
      </c>
      <c r="N718" s="9">
        <v>47.280749999999998</v>
      </c>
      <c r="O718" s="14">
        <v>37.796140000000001</v>
      </c>
      <c r="P718" s="9">
        <v>44.794910000000002</v>
      </c>
      <c r="Q718" s="9">
        <v>47.64949</v>
      </c>
      <c r="R718" s="23">
        <v>35.936050000000002</v>
      </c>
      <c r="S718" s="8">
        <v>0.34153</v>
      </c>
      <c r="T718" s="9">
        <v>0.98482000000000003</v>
      </c>
      <c r="U718" s="24">
        <v>0.36874000000000001</v>
      </c>
    </row>
    <row r="719" spans="1:21" ht="12" customHeight="1" x14ac:dyDescent="0.25">
      <c r="A719" s="5">
        <v>1759</v>
      </c>
      <c r="B719" s="19" t="s">
        <v>364</v>
      </c>
      <c r="C719" s="19" t="s">
        <v>12</v>
      </c>
      <c r="D719" s="5" t="s">
        <v>365</v>
      </c>
      <c r="E719" s="6">
        <v>367120.08005605999</v>
      </c>
      <c r="F719" s="6">
        <v>6548212.5487872995</v>
      </c>
      <c r="G719" s="7" t="str">
        <f>HYPERLINK("https://minkarta.lantmateriet.se/?e=367120,08005606&amp;n=6548212,5487873&amp;z=12&amp;profile=flygbildmedgranser&amp;background=2&amp;boundaries=true","Visa")</f>
        <v>Visa</v>
      </c>
      <c r="H719" s="5" t="s">
        <v>16</v>
      </c>
      <c r="I719" s="8">
        <v>38.991190000000003</v>
      </c>
      <c r="J719" s="9">
        <v>42.871789999999997</v>
      </c>
      <c r="K719" s="9">
        <v>44.400370000000002</v>
      </c>
      <c r="L719" s="14">
        <v>39.928289999999997</v>
      </c>
      <c r="M719" s="9">
        <v>43.300899999999999</v>
      </c>
      <c r="N719" s="9">
        <v>44.918860000000002</v>
      </c>
      <c r="O719" s="14">
        <v>40.109990000000003</v>
      </c>
      <c r="P719" s="9">
        <v>43.329349999999998</v>
      </c>
      <c r="Q719" s="9">
        <v>44.948180000000001</v>
      </c>
      <c r="R719" s="23">
        <v>36.020060000000001</v>
      </c>
      <c r="S719" s="8">
        <v>0.1817</v>
      </c>
      <c r="T719" s="9">
        <v>2.845E-2</v>
      </c>
      <c r="U719" s="24">
        <v>2.9319999999999999E-2</v>
      </c>
    </row>
    <row r="720" spans="1:21" ht="12" customHeight="1" x14ac:dyDescent="0.25">
      <c r="A720" s="5">
        <v>1760</v>
      </c>
      <c r="B720" s="19" t="s">
        <v>364</v>
      </c>
      <c r="C720" s="19" t="s">
        <v>12</v>
      </c>
      <c r="D720" s="5" t="s">
        <v>365</v>
      </c>
      <c r="E720" s="6">
        <v>367121.26121584</v>
      </c>
      <c r="F720" s="6">
        <v>6548204.3460569996</v>
      </c>
      <c r="G720" s="7" t="str">
        <f>HYPERLINK("https://minkarta.lantmateriet.se/?e=367121,26121584&amp;n=6548204,346057&amp;z=12&amp;profile=flygbildmedgranser&amp;background=2&amp;boundaries=true","Visa")</f>
        <v>Visa</v>
      </c>
      <c r="H720" s="5" t="s">
        <v>15</v>
      </c>
      <c r="I720" s="8">
        <v>38.254010000000001</v>
      </c>
      <c r="J720" s="9">
        <v>43.59037</v>
      </c>
      <c r="K720" s="9">
        <v>45.118949999999998</v>
      </c>
      <c r="L720" s="14">
        <v>39.188330000000001</v>
      </c>
      <c r="M720" s="9">
        <v>44.019469999999998</v>
      </c>
      <c r="N720" s="9">
        <v>45.637439999999998</v>
      </c>
      <c r="O720" s="14">
        <v>39.286090000000002</v>
      </c>
      <c r="P720" s="9">
        <v>44.047919999999998</v>
      </c>
      <c r="Q720" s="9">
        <v>45.666759999999996</v>
      </c>
      <c r="R720" s="23">
        <v>26.959</v>
      </c>
      <c r="S720" s="8">
        <v>9.776E-2</v>
      </c>
      <c r="T720" s="9">
        <v>2.845E-2</v>
      </c>
      <c r="U720" s="24">
        <v>2.9319999999999999E-2</v>
      </c>
    </row>
    <row r="721" spans="1:21" ht="12" customHeight="1" x14ac:dyDescent="0.25">
      <c r="A721" s="5">
        <v>1761</v>
      </c>
      <c r="B721" s="19" t="s">
        <v>366</v>
      </c>
      <c r="C721" s="19" t="s">
        <v>254</v>
      </c>
      <c r="D721" s="5" t="s">
        <v>367</v>
      </c>
      <c r="E721" s="6">
        <v>367100.67005890998</v>
      </c>
      <c r="F721" s="6">
        <v>6548218.1575614996</v>
      </c>
      <c r="G721" s="7" t="str">
        <f>HYPERLINK("https://minkarta.lantmateriet.se/?e=367100,67005891&amp;n=6548218,1575615&amp;z=12&amp;profile=flygbildmedgranser&amp;background=2&amp;boundaries=true","Visa")</f>
        <v>Visa</v>
      </c>
      <c r="H721" s="5" t="s">
        <v>13</v>
      </c>
      <c r="I721" s="8">
        <v>38.93779</v>
      </c>
      <c r="J721" s="9">
        <v>40.830359999999999</v>
      </c>
      <c r="K721" s="9">
        <v>42.358939999999997</v>
      </c>
      <c r="L721" s="14">
        <v>39.867629999999998</v>
      </c>
      <c r="M721" s="9">
        <v>41.25947</v>
      </c>
      <c r="N721" s="9">
        <v>42.877429999999997</v>
      </c>
      <c r="O721" s="14">
        <v>39.857520000000001</v>
      </c>
      <c r="P721" s="9">
        <v>41.28792</v>
      </c>
      <c r="Q721" s="9">
        <v>42.906750000000002</v>
      </c>
      <c r="R721" s="23">
        <v>31.31175</v>
      </c>
      <c r="S721" s="8">
        <v>-1.0109999999999999E-2</v>
      </c>
      <c r="T721" s="9">
        <v>2.845E-2</v>
      </c>
      <c r="U721" s="24">
        <v>2.9319999999999999E-2</v>
      </c>
    </row>
    <row r="722" spans="1:21" ht="12" customHeight="1" x14ac:dyDescent="0.25">
      <c r="A722" s="5">
        <v>1763</v>
      </c>
      <c r="B722" s="19" t="s">
        <v>366</v>
      </c>
      <c r="C722" s="19" t="s">
        <v>254</v>
      </c>
      <c r="D722" s="5" t="s">
        <v>367</v>
      </c>
      <c r="E722" s="6">
        <v>367091.524943</v>
      </c>
      <c r="F722" s="6">
        <v>6548220.9699422</v>
      </c>
      <c r="G722" s="7" t="str">
        <f>HYPERLINK("https://minkarta.lantmateriet.se/?e=367091,524943&amp;n=6548220,9699422&amp;z=12&amp;profile=flygbildmedgranser&amp;background=2&amp;boundaries=true","Visa")</f>
        <v>Visa</v>
      </c>
      <c r="H722" s="5" t="s">
        <v>16</v>
      </c>
      <c r="I722" s="8">
        <v>40.457720000000002</v>
      </c>
      <c r="J722" s="9">
        <v>46.060560000000002</v>
      </c>
      <c r="K722" s="9">
        <v>47.58914</v>
      </c>
      <c r="L722" s="14">
        <v>41.385159999999999</v>
      </c>
      <c r="M722" s="9">
        <v>46.489669999999997</v>
      </c>
      <c r="N722" s="9">
        <v>48.107640000000004</v>
      </c>
      <c r="O722" s="14">
        <v>41.46604</v>
      </c>
      <c r="P722" s="9">
        <v>46.518120000000003</v>
      </c>
      <c r="Q722" s="9">
        <v>48.136960000000002</v>
      </c>
      <c r="R722" s="23">
        <v>36.440649999999998</v>
      </c>
      <c r="S722" s="8">
        <v>8.0879999999999994E-2</v>
      </c>
      <c r="T722" s="9">
        <v>2.845E-2</v>
      </c>
      <c r="U722" s="24">
        <v>2.9319999999999999E-2</v>
      </c>
    </row>
    <row r="723" spans="1:21" ht="12" customHeight="1" x14ac:dyDescent="0.25">
      <c r="A723" s="5">
        <v>1765</v>
      </c>
      <c r="B723" s="19" t="s">
        <v>368</v>
      </c>
      <c r="C723" s="19" t="s">
        <v>12</v>
      </c>
      <c r="D723" s="5" t="s">
        <v>369</v>
      </c>
      <c r="E723" s="6">
        <v>367113.92880727001</v>
      </c>
      <c r="F723" s="6">
        <v>6548239.6442638999</v>
      </c>
      <c r="G723" s="7" t="str">
        <f>HYPERLINK("https://minkarta.lantmateriet.se/?e=367113,92880727&amp;n=6548239,6442639&amp;z=12&amp;profile=flygbildmedgranser&amp;background=2&amp;boundaries=true","Visa")</f>
        <v>Visa</v>
      </c>
      <c r="H723" s="5" t="s">
        <v>8</v>
      </c>
      <c r="I723" s="8">
        <v>38.243099999999998</v>
      </c>
      <c r="J723" s="9">
        <v>40.688029999999998</v>
      </c>
      <c r="K723" s="9">
        <v>42.216610000000003</v>
      </c>
      <c r="L723" s="14">
        <v>39.173839999999998</v>
      </c>
      <c r="M723" s="9">
        <v>41.117139999999999</v>
      </c>
      <c r="N723" s="9">
        <v>42.735109999999999</v>
      </c>
      <c r="O723" s="14">
        <v>39.24371</v>
      </c>
      <c r="P723" s="9">
        <v>41.145589999999999</v>
      </c>
      <c r="Q723" s="9">
        <v>42.941699999999997</v>
      </c>
      <c r="R723" s="23">
        <v>30.41357</v>
      </c>
      <c r="S723" s="8">
        <v>6.9870000000000002E-2</v>
      </c>
      <c r="T723" s="9">
        <v>2.845E-2</v>
      </c>
      <c r="U723" s="24">
        <v>0.20659</v>
      </c>
    </row>
    <row r="724" spans="1:21" ht="12" customHeight="1" x14ac:dyDescent="0.25">
      <c r="A724" s="5">
        <v>1766</v>
      </c>
      <c r="B724" s="19" t="s">
        <v>368</v>
      </c>
      <c r="C724" s="19" t="s">
        <v>12</v>
      </c>
      <c r="D724" s="5" t="s">
        <v>369</v>
      </c>
      <c r="E724" s="6">
        <v>367111.26523849001</v>
      </c>
      <c r="F724" s="6">
        <v>6548246.9193086</v>
      </c>
      <c r="G724" s="7" t="str">
        <f>HYPERLINK("https://minkarta.lantmateriet.se/?e=367111,26523849&amp;n=6548246,9193086&amp;z=12&amp;profile=flygbildmedgranser&amp;background=2&amp;boundaries=true","Visa")</f>
        <v>Visa</v>
      </c>
      <c r="H724" s="5" t="s">
        <v>9</v>
      </c>
      <c r="I724" s="8">
        <v>39.35125</v>
      </c>
      <c r="J724" s="9">
        <v>43.115259999999999</v>
      </c>
      <c r="K724" s="9">
        <v>44.643839999999997</v>
      </c>
      <c r="L724" s="14">
        <v>40.307220000000001</v>
      </c>
      <c r="M724" s="9">
        <v>43.544359999999998</v>
      </c>
      <c r="N724" s="9">
        <v>45.162329999999997</v>
      </c>
      <c r="O724" s="14">
        <v>40.46087</v>
      </c>
      <c r="P724" s="9">
        <v>43.572809999999997</v>
      </c>
      <c r="Q724" s="9">
        <v>45.191650000000003</v>
      </c>
      <c r="R724" s="23">
        <v>32.033940000000001</v>
      </c>
      <c r="S724" s="8">
        <v>0.15365000000000001</v>
      </c>
      <c r="T724" s="9">
        <v>2.845E-2</v>
      </c>
      <c r="U724" s="24">
        <v>2.9319999999999999E-2</v>
      </c>
    </row>
    <row r="725" spans="1:21" ht="12" customHeight="1" x14ac:dyDescent="0.25">
      <c r="A725" s="5">
        <v>1767</v>
      </c>
      <c r="B725" s="19" t="s">
        <v>368</v>
      </c>
      <c r="C725" s="19" t="s">
        <v>12</v>
      </c>
      <c r="D725" s="5" t="s">
        <v>369</v>
      </c>
      <c r="E725" s="6">
        <v>367103.72669431998</v>
      </c>
      <c r="F725" s="6">
        <v>6548245.1327392999</v>
      </c>
      <c r="G725" s="7" t="str">
        <f>HYPERLINK("https://minkarta.lantmateriet.se/?e=367103,72669432&amp;n=6548245,1327393&amp;z=12&amp;profile=flygbildmedgranser&amp;background=2&amp;boundaries=true","Visa")</f>
        <v>Visa</v>
      </c>
      <c r="H725" s="5" t="s">
        <v>10</v>
      </c>
      <c r="I725" s="8">
        <v>40.85866</v>
      </c>
      <c r="J725" s="9">
        <v>52.481369999999998</v>
      </c>
      <c r="K725" s="9">
        <v>53.93533</v>
      </c>
      <c r="L725" s="14">
        <v>41.815159999999999</v>
      </c>
      <c r="M725" s="9">
        <v>52.980870000000003</v>
      </c>
      <c r="N725" s="9">
        <v>56.451520000000002</v>
      </c>
      <c r="O725" s="14">
        <v>42.037120000000002</v>
      </c>
      <c r="P725" s="9">
        <v>53.965679999999999</v>
      </c>
      <c r="Q725" s="9">
        <v>56.820259999999998</v>
      </c>
      <c r="R725" s="23">
        <v>36.012430000000002</v>
      </c>
      <c r="S725" s="8">
        <v>0.22195999999999999</v>
      </c>
      <c r="T725" s="9">
        <v>0.98480999999999996</v>
      </c>
      <c r="U725" s="24">
        <v>0.36874000000000001</v>
      </c>
    </row>
    <row r="726" spans="1:21" ht="12" customHeight="1" x14ac:dyDescent="0.25">
      <c r="A726" s="5">
        <v>1768</v>
      </c>
      <c r="B726" s="19" t="s">
        <v>368</v>
      </c>
      <c r="C726" s="19" t="s">
        <v>12</v>
      </c>
      <c r="D726" s="5" t="s">
        <v>369</v>
      </c>
      <c r="E726" s="6">
        <v>367106.39026314998</v>
      </c>
      <c r="F726" s="6">
        <v>6548237.8576956</v>
      </c>
      <c r="G726" s="7" t="str">
        <f>HYPERLINK("https://minkarta.lantmateriet.se/?e=367106,39026315&amp;n=6548237,8576956&amp;z=12&amp;profile=flygbildmedgranser&amp;background=2&amp;boundaries=true","Visa")</f>
        <v>Visa</v>
      </c>
      <c r="H726" s="5" t="s">
        <v>11</v>
      </c>
      <c r="I726" s="8">
        <v>40.254199999999997</v>
      </c>
      <c r="J726" s="9">
        <v>44.828270000000003</v>
      </c>
      <c r="K726" s="9">
        <v>46.356850000000001</v>
      </c>
      <c r="L726" s="14">
        <v>41.200189999999999</v>
      </c>
      <c r="M726" s="9">
        <v>45.257379999999998</v>
      </c>
      <c r="N726" s="9">
        <v>46.875349999999997</v>
      </c>
      <c r="O726" s="14">
        <v>41.259869999999999</v>
      </c>
      <c r="P726" s="9">
        <v>45.285829999999997</v>
      </c>
      <c r="Q726" s="9">
        <v>46.904670000000003</v>
      </c>
      <c r="R726" s="23">
        <v>32.057650000000002</v>
      </c>
      <c r="S726" s="8">
        <v>5.9679999999999997E-2</v>
      </c>
      <c r="T726" s="9">
        <v>2.845E-2</v>
      </c>
      <c r="U726" s="24">
        <v>2.9319999999999999E-2</v>
      </c>
    </row>
    <row r="727" spans="1:21" ht="12" customHeight="1" x14ac:dyDescent="0.25">
      <c r="A727" s="5">
        <v>1769</v>
      </c>
      <c r="B727" s="19" t="s">
        <v>370</v>
      </c>
      <c r="C727" s="19" t="s">
        <v>12</v>
      </c>
      <c r="D727" s="5" t="s">
        <v>371</v>
      </c>
      <c r="E727" s="6">
        <v>367124.86382659001</v>
      </c>
      <c r="F727" s="6">
        <v>6548260.0148</v>
      </c>
      <c r="G727" s="7" t="str">
        <f>HYPERLINK("https://minkarta.lantmateriet.se/?e=367124,86382659&amp;n=6548260,0148&amp;z=12&amp;profile=flygbildmedgranser&amp;background=2&amp;boundaries=true","Visa")</f>
        <v>Visa</v>
      </c>
      <c r="H727" s="5" t="s">
        <v>8</v>
      </c>
      <c r="I727" s="8">
        <v>38.358730000000001</v>
      </c>
      <c r="J727" s="9">
        <v>45.491750000000003</v>
      </c>
      <c r="K727" s="9">
        <v>46.945720000000001</v>
      </c>
      <c r="L727" s="14">
        <v>39.278759999999998</v>
      </c>
      <c r="M727" s="9">
        <v>45.991250000000001</v>
      </c>
      <c r="N727" s="9">
        <v>49.461910000000003</v>
      </c>
      <c r="O727" s="14">
        <v>39.308190000000003</v>
      </c>
      <c r="P727" s="9">
        <v>46.97607</v>
      </c>
      <c r="Q727" s="9">
        <v>49.830640000000002</v>
      </c>
      <c r="R727" s="23">
        <v>22.272410000000001</v>
      </c>
      <c r="S727" s="8">
        <v>2.9430000000000001E-2</v>
      </c>
      <c r="T727" s="9">
        <v>0.98482000000000003</v>
      </c>
      <c r="U727" s="24">
        <v>0.36873</v>
      </c>
    </row>
    <row r="728" spans="1:21" ht="12" customHeight="1" x14ac:dyDescent="0.25">
      <c r="A728" s="5">
        <v>1770</v>
      </c>
      <c r="B728" s="19" t="s">
        <v>370</v>
      </c>
      <c r="C728" s="19" t="s">
        <v>12</v>
      </c>
      <c r="D728" s="5" t="s">
        <v>371</v>
      </c>
      <c r="E728" s="6">
        <v>367122.23370300001</v>
      </c>
      <c r="F728" s="6">
        <v>6548267.1963275997</v>
      </c>
      <c r="G728" s="7" t="str">
        <f>HYPERLINK("https://minkarta.lantmateriet.se/?e=367122,233703&amp;n=6548267,1963276&amp;z=12&amp;profile=flygbildmedgranser&amp;background=2&amp;boundaries=true","Visa")</f>
        <v>Visa</v>
      </c>
      <c r="H728" s="5" t="s">
        <v>9</v>
      </c>
      <c r="I728" s="8">
        <v>38.73556</v>
      </c>
      <c r="J728" s="9">
        <v>41.136409999999998</v>
      </c>
      <c r="K728" s="9">
        <v>42.664990000000003</v>
      </c>
      <c r="L728" s="14">
        <v>39.680889999999998</v>
      </c>
      <c r="M728" s="9">
        <v>41.565510000000003</v>
      </c>
      <c r="N728" s="9">
        <v>43.183480000000003</v>
      </c>
      <c r="O728" s="14">
        <v>39.907919999999997</v>
      </c>
      <c r="P728" s="9">
        <v>41.593960000000003</v>
      </c>
      <c r="Q728" s="9">
        <v>43.212800000000001</v>
      </c>
      <c r="R728" s="23">
        <v>32.599989999999998</v>
      </c>
      <c r="S728" s="8">
        <v>0.22703000000000001</v>
      </c>
      <c r="T728" s="9">
        <v>2.845E-2</v>
      </c>
      <c r="U728" s="24">
        <v>2.9319999999999999E-2</v>
      </c>
    </row>
    <row r="729" spans="1:21" ht="12" customHeight="1" x14ac:dyDescent="0.25">
      <c r="A729" s="5">
        <v>1771</v>
      </c>
      <c r="B729" s="19" t="s">
        <v>370</v>
      </c>
      <c r="C729" s="19" t="s">
        <v>12</v>
      </c>
      <c r="D729" s="5" t="s">
        <v>371</v>
      </c>
      <c r="E729" s="6">
        <v>367114.80617540999</v>
      </c>
      <c r="F729" s="6">
        <v>6548265.3732040003</v>
      </c>
      <c r="G729" s="7" t="str">
        <f>HYPERLINK("https://minkarta.lantmateriet.se/?e=367114,80617541&amp;n=6548265,373204&amp;z=12&amp;profile=flygbildmedgranser&amp;background=2&amp;boundaries=true","Visa")</f>
        <v>Visa</v>
      </c>
      <c r="H729" s="5" t="s">
        <v>10</v>
      </c>
      <c r="I729" s="8">
        <v>40.640949999999997</v>
      </c>
      <c r="J729" s="9">
        <v>54.151499999999999</v>
      </c>
      <c r="K729" s="9">
        <v>55.605460000000001</v>
      </c>
      <c r="L729" s="14">
        <v>41.579889999999999</v>
      </c>
      <c r="M729" s="9">
        <v>54.651000000000003</v>
      </c>
      <c r="N729" s="9">
        <v>58.121659999999999</v>
      </c>
      <c r="O729" s="14">
        <v>41.995399999999997</v>
      </c>
      <c r="P729" s="9">
        <v>55.635809999999999</v>
      </c>
      <c r="Q729" s="9">
        <v>58.490389999999998</v>
      </c>
      <c r="R729" s="23">
        <v>38.759010000000004</v>
      </c>
      <c r="S729" s="8">
        <v>0.41550999999999999</v>
      </c>
      <c r="T729" s="9">
        <v>0.98480999999999996</v>
      </c>
      <c r="U729" s="24">
        <v>0.36873</v>
      </c>
    </row>
    <row r="730" spans="1:21" ht="12" customHeight="1" x14ac:dyDescent="0.25">
      <c r="A730" s="5">
        <v>1772</v>
      </c>
      <c r="B730" s="19" t="s">
        <v>370</v>
      </c>
      <c r="C730" s="19" t="s">
        <v>12</v>
      </c>
      <c r="D730" s="5" t="s">
        <v>371</v>
      </c>
      <c r="E730" s="6">
        <v>367117.43629899999</v>
      </c>
      <c r="F730" s="6">
        <v>6548258.1916763997</v>
      </c>
      <c r="G730" s="7" t="str">
        <f>HYPERLINK("https://minkarta.lantmateriet.se/?e=367117,436299&amp;n=6548258,1916764&amp;z=12&amp;profile=flygbildmedgranser&amp;background=2&amp;boundaries=true","Visa")</f>
        <v>Visa</v>
      </c>
      <c r="H730" s="5" t="s">
        <v>11</v>
      </c>
      <c r="I730" s="8">
        <v>39.033799999999999</v>
      </c>
      <c r="J730" s="9">
        <v>42.412390000000002</v>
      </c>
      <c r="K730" s="9">
        <v>43.866349999999997</v>
      </c>
      <c r="L730" s="14">
        <v>39.97392</v>
      </c>
      <c r="M730" s="9">
        <v>42.911879999999996</v>
      </c>
      <c r="N730" s="9">
        <v>46.382550000000002</v>
      </c>
      <c r="O730" s="14">
        <v>40.133859999999999</v>
      </c>
      <c r="P730" s="9">
        <v>43.896709999999999</v>
      </c>
      <c r="Q730" s="9">
        <v>46.751280000000001</v>
      </c>
      <c r="R730" s="23">
        <v>30.96557</v>
      </c>
      <c r="S730" s="8">
        <v>0.15994</v>
      </c>
      <c r="T730" s="9">
        <v>0.98482999999999998</v>
      </c>
      <c r="U730" s="24">
        <v>0.36873</v>
      </c>
    </row>
    <row r="731" spans="1:21" ht="12" customHeight="1" x14ac:dyDescent="0.25">
      <c r="A731" s="5">
        <v>1774</v>
      </c>
      <c r="B731" s="19" t="s">
        <v>372</v>
      </c>
      <c r="C731" s="19" t="s">
        <v>12</v>
      </c>
      <c r="D731" s="5" t="s">
        <v>373</v>
      </c>
      <c r="E731" s="6">
        <v>367133.36623991001</v>
      </c>
      <c r="F731" s="6">
        <v>6548287.6838077996</v>
      </c>
      <c r="G731" s="7" t="str">
        <f>HYPERLINK("https://minkarta.lantmateriet.se/?e=367133,36623991&amp;n=6548287,6838078&amp;z=12&amp;profile=flygbildmedgranser&amp;background=2&amp;boundaries=true","Visa")</f>
        <v>Visa</v>
      </c>
      <c r="H731" s="5" t="s">
        <v>9</v>
      </c>
      <c r="I731" s="8">
        <v>38.801259999999999</v>
      </c>
      <c r="J731" s="9">
        <v>47.628540000000001</v>
      </c>
      <c r="K731" s="9">
        <v>49.082500000000003</v>
      </c>
      <c r="L731" s="14">
        <v>39.755549999999999</v>
      </c>
      <c r="M731" s="9">
        <v>48.128030000000003</v>
      </c>
      <c r="N731" s="9">
        <v>51.598689999999998</v>
      </c>
      <c r="O731" s="14">
        <v>40.108780000000003</v>
      </c>
      <c r="P731" s="9">
        <v>49.112850000000002</v>
      </c>
      <c r="Q731" s="9">
        <v>51.96743</v>
      </c>
      <c r="R731" s="23">
        <v>38.328110000000002</v>
      </c>
      <c r="S731" s="8">
        <v>0.35322999999999999</v>
      </c>
      <c r="T731" s="9">
        <v>0.98482000000000003</v>
      </c>
      <c r="U731" s="24">
        <v>0.36874000000000001</v>
      </c>
    </row>
    <row r="732" spans="1:21" ht="12" customHeight="1" x14ac:dyDescent="0.25">
      <c r="A732" s="5">
        <v>1775</v>
      </c>
      <c r="B732" s="19" t="s">
        <v>372</v>
      </c>
      <c r="C732" s="19" t="s">
        <v>12</v>
      </c>
      <c r="D732" s="5" t="s">
        <v>373</v>
      </c>
      <c r="E732" s="6">
        <v>367125.81769555999</v>
      </c>
      <c r="F732" s="6">
        <v>6548286.0047415998</v>
      </c>
      <c r="G732" s="7" t="str">
        <f>HYPERLINK("https://minkarta.lantmateriet.se/?e=367125,81769556&amp;n=6548286,0047416&amp;z=12&amp;profile=flygbildmedgranser&amp;background=2&amp;boundaries=true","Visa")</f>
        <v>Visa</v>
      </c>
      <c r="H732" s="5" t="s">
        <v>10</v>
      </c>
      <c r="I732" s="8">
        <v>40.882910000000003</v>
      </c>
      <c r="J732" s="9">
        <v>56.223379999999999</v>
      </c>
      <c r="K732" s="9">
        <v>57.677349999999997</v>
      </c>
      <c r="L732" s="14">
        <v>41.827109999999998</v>
      </c>
      <c r="M732" s="9">
        <v>56.722880000000004</v>
      </c>
      <c r="N732" s="9">
        <v>60.193530000000003</v>
      </c>
      <c r="O732" s="14">
        <v>42.379060000000003</v>
      </c>
      <c r="P732" s="9">
        <v>57.707700000000003</v>
      </c>
      <c r="Q732" s="9">
        <v>60.562269999999998</v>
      </c>
      <c r="R732" s="23">
        <v>38.642699999999998</v>
      </c>
      <c r="S732" s="8">
        <v>0.55195000000000005</v>
      </c>
      <c r="T732" s="9">
        <v>0.98482000000000003</v>
      </c>
      <c r="U732" s="24">
        <v>0.36874000000000001</v>
      </c>
    </row>
    <row r="733" spans="1:21" ht="12" customHeight="1" x14ac:dyDescent="0.25">
      <c r="A733" s="5">
        <v>1776</v>
      </c>
      <c r="B733" s="19" t="s">
        <v>372</v>
      </c>
      <c r="C733" s="19" t="s">
        <v>12</v>
      </c>
      <c r="D733" s="5" t="s">
        <v>373</v>
      </c>
      <c r="E733" s="6">
        <v>367128.57376209</v>
      </c>
      <c r="F733" s="6">
        <v>6548278.7801962001</v>
      </c>
      <c r="G733" s="7" t="str">
        <f>HYPERLINK("https://minkarta.lantmateriet.se/?e=367128,57376209&amp;n=6548278,7801962&amp;z=12&amp;profile=flygbildmedgranser&amp;background=2&amp;boundaries=true","Visa")</f>
        <v>Visa</v>
      </c>
      <c r="H733" s="5" t="s">
        <v>11</v>
      </c>
      <c r="I733" s="8">
        <v>39.093640000000001</v>
      </c>
      <c r="J733" s="9">
        <v>43.650440000000003</v>
      </c>
      <c r="K733" s="9">
        <v>45.104399999999998</v>
      </c>
      <c r="L733" s="14">
        <v>40.034109999999998</v>
      </c>
      <c r="M733" s="9">
        <v>44.149940000000001</v>
      </c>
      <c r="N733" s="9">
        <v>47.62059</v>
      </c>
      <c r="O733" s="14">
        <v>40.263089999999998</v>
      </c>
      <c r="P733" s="9">
        <v>45.134749999999997</v>
      </c>
      <c r="Q733" s="9">
        <v>47.989330000000002</v>
      </c>
      <c r="R733" s="23">
        <v>31.42454</v>
      </c>
      <c r="S733" s="8">
        <v>0.22897999999999999</v>
      </c>
      <c r="T733" s="9">
        <v>0.98480999999999996</v>
      </c>
      <c r="U733" s="24">
        <v>0.36874000000000001</v>
      </c>
    </row>
    <row r="734" spans="1:21" ht="12" customHeight="1" x14ac:dyDescent="0.25">
      <c r="A734" s="5">
        <v>1777</v>
      </c>
      <c r="B734" s="19" t="s">
        <v>374</v>
      </c>
      <c r="C734" s="19" t="s">
        <v>12</v>
      </c>
      <c r="D734" s="5" t="s">
        <v>375</v>
      </c>
      <c r="E734" s="6">
        <v>367147.27928436</v>
      </c>
      <c r="F734" s="6">
        <v>6548300.9032215998</v>
      </c>
      <c r="G734" s="7" t="str">
        <f>HYPERLINK("https://minkarta.lantmateriet.se/?e=367147,27928436&amp;n=6548300,9032216&amp;z=12&amp;profile=flygbildmedgranser&amp;background=2&amp;boundaries=true","Visa")</f>
        <v>Visa</v>
      </c>
      <c r="H734" s="5" t="s">
        <v>8</v>
      </c>
      <c r="I734" s="8">
        <v>37.985689999999998</v>
      </c>
      <c r="J734" s="9">
        <v>45.672020000000003</v>
      </c>
      <c r="K734" s="9">
        <v>47.125979999999998</v>
      </c>
      <c r="L734" s="14">
        <v>38.924700000000001</v>
      </c>
      <c r="M734" s="9">
        <v>46.171509999999998</v>
      </c>
      <c r="N734" s="9">
        <v>49.64217</v>
      </c>
      <c r="O734" s="14">
        <v>39.089779999999998</v>
      </c>
      <c r="P734" s="9">
        <v>47.156329999999997</v>
      </c>
      <c r="Q734" s="9">
        <v>50.010910000000003</v>
      </c>
      <c r="R734" s="23">
        <v>24.106539999999999</v>
      </c>
      <c r="S734" s="8">
        <v>0.16508</v>
      </c>
      <c r="T734" s="9">
        <v>0.98482000000000003</v>
      </c>
      <c r="U734" s="24">
        <v>0.36874000000000001</v>
      </c>
    </row>
    <row r="735" spans="1:21" ht="12" customHeight="1" x14ac:dyDescent="0.25">
      <c r="A735" s="5">
        <v>1778</v>
      </c>
      <c r="B735" s="19" t="s">
        <v>374</v>
      </c>
      <c r="C735" s="19" t="s">
        <v>12</v>
      </c>
      <c r="D735" s="5" t="s">
        <v>375</v>
      </c>
      <c r="E735" s="6">
        <v>367144.55978106998</v>
      </c>
      <c r="F735" s="6">
        <v>6548308.0757855996</v>
      </c>
      <c r="G735" s="7" t="str">
        <f>HYPERLINK("https://minkarta.lantmateriet.se/?e=367144,55978107&amp;n=6548308,0757856&amp;z=12&amp;profile=flygbildmedgranser&amp;background=2&amp;boundaries=true","Visa")</f>
        <v>Visa</v>
      </c>
      <c r="H735" s="5" t="s">
        <v>9</v>
      </c>
      <c r="I735" s="8">
        <v>41.061869999999999</v>
      </c>
      <c r="J735" s="9">
        <v>53.664960000000001</v>
      </c>
      <c r="K735" s="9">
        <v>55.118920000000003</v>
      </c>
      <c r="L735" s="14">
        <v>42.026800000000001</v>
      </c>
      <c r="M735" s="9">
        <v>54.164459999999998</v>
      </c>
      <c r="N735" s="9">
        <v>57.635109999999997</v>
      </c>
      <c r="O735" s="14">
        <v>42.592509999999997</v>
      </c>
      <c r="P735" s="9">
        <v>55.149270000000001</v>
      </c>
      <c r="Q735" s="9">
        <v>58.00385</v>
      </c>
      <c r="R735" s="23">
        <v>32.570569999999996</v>
      </c>
      <c r="S735" s="8">
        <v>0.56571000000000005</v>
      </c>
      <c r="T735" s="9">
        <v>0.98480999999999996</v>
      </c>
      <c r="U735" s="24">
        <v>0.36874000000000001</v>
      </c>
    </row>
    <row r="736" spans="1:21" ht="12" customHeight="1" x14ac:dyDescent="0.25">
      <c r="A736" s="5">
        <v>1779</v>
      </c>
      <c r="B736" s="19" t="s">
        <v>374</v>
      </c>
      <c r="C736" s="19" t="s">
        <v>12</v>
      </c>
      <c r="D736" s="5" t="s">
        <v>375</v>
      </c>
      <c r="E736" s="6">
        <v>367137.05971763999</v>
      </c>
      <c r="F736" s="6">
        <v>6548306.4647824001</v>
      </c>
      <c r="G736" s="7" t="str">
        <f>HYPERLINK("https://minkarta.lantmateriet.se/?e=367137,05971764&amp;n=6548306,4647824&amp;z=12&amp;profile=flygbildmedgranser&amp;background=2&amp;boundaries=true","Visa")</f>
        <v>Visa</v>
      </c>
      <c r="H736" s="5" t="s">
        <v>10</v>
      </c>
      <c r="I736" s="8">
        <v>42.845480000000002</v>
      </c>
      <c r="J736" s="9">
        <v>58.9191</v>
      </c>
      <c r="K736" s="9">
        <v>60.373060000000002</v>
      </c>
      <c r="L736" s="14">
        <v>43.809019999999997</v>
      </c>
      <c r="M736" s="9">
        <v>59.418590000000002</v>
      </c>
      <c r="N736" s="9">
        <v>62.88926</v>
      </c>
      <c r="O736" s="14">
        <v>44.411850000000001</v>
      </c>
      <c r="P736" s="9">
        <v>60.403419999999997</v>
      </c>
      <c r="Q736" s="9">
        <v>63.257989999999999</v>
      </c>
      <c r="R736" s="23">
        <v>32.795630000000003</v>
      </c>
      <c r="S736" s="8">
        <v>0.60282999999999998</v>
      </c>
      <c r="T736" s="9">
        <v>0.98482999999999998</v>
      </c>
      <c r="U736" s="24">
        <v>0.36873</v>
      </c>
    </row>
    <row r="737" spans="1:21" ht="12" customHeight="1" x14ac:dyDescent="0.25">
      <c r="A737" s="5">
        <v>1780</v>
      </c>
      <c r="B737" s="19" t="s">
        <v>374</v>
      </c>
      <c r="C737" s="19" t="s">
        <v>12</v>
      </c>
      <c r="D737" s="5" t="s">
        <v>375</v>
      </c>
      <c r="E737" s="6">
        <v>367139.77922093001</v>
      </c>
      <c r="F737" s="6">
        <v>6548299.2922184002</v>
      </c>
      <c r="G737" s="7" t="str">
        <f>HYPERLINK("https://minkarta.lantmateriet.se/?e=367139,77922093&amp;n=6548299,2922184&amp;z=12&amp;profile=flygbildmedgranser&amp;background=2&amp;boundaries=true","Visa")</f>
        <v>Visa</v>
      </c>
      <c r="H737" s="5" t="s">
        <v>11</v>
      </c>
      <c r="I737" s="8">
        <v>39.763089999999998</v>
      </c>
      <c r="J737" s="9">
        <v>54.273400000000002</v>
      </c>
      <c r="K737" s="9">
        <v>55.727370000000001</v>
      </c>
      <c r="L737" s="14">
        <v>40.715310000000002</v>
      </c>
      <c r="M737" s="9">
        <v>54.7729</v>
      </c>
      <c r="N737" s="9">
        <v>58.243560000000002</v>
      </c>
      <c r="O737" s="14">
        <v>41.047350000000002</v>
      </c>
      <c r="P737" s="9">
        <v>55.757719999999999</v>
      </c>
      <c r="Q737" s="9">
        <v>58.612290000000002</v>
      </c>
      <c r="R737" s="23">
        <v>31.177710000000001</v>
      </c>
      <c r="S737" s="8">
        <v>0.33204</v>
      </c>
      <c r="T737" s="9">
        <v>0.98482000000000003</v>
      </c>
      <c r="U737" s="24">
        <v>0.36873</v>
      </c>
    </row>
    <row r="738" spans="1:21" ht="12" customHeight="1" x14ac:dyDescent="0.25">
      <c r="A738" s="5">
        <v>1781</v>
      </c>
      <c r="B738" s="19" t="s">
        <v>376</v>
      </c>
      <c r="C738" s="19" t="s">
        <v>12</v>
      </c>
      <c r="D738" s="5" t="s">
        <v>377</v>
      </c>
      <c r="E738" s="6">
        <v>367158.40881033998</v>
      </c>
      <c r="F738" s="6">
        <v>6548321.2377696</v>
      </c>
      <c r="G738" s="7" t="str">
        <f>HYPERLINK("https://minkarta.lantmateriet.se/?e=367158,40881034&amp;n=6548321,2377696&amp;z=12&amp;profile=flygbildmedgranser&amp;background=2&amp;boundaries=true","Visa")</f>
        <v>Visa</v>
      </c>
      <c r="H738" s="5" t="s">
        <v>8</v>
      </c>
      <c r="I738" s="8">
        <v>41.691070000000003</v>
      </c>
      <c r="J738" s="9">
        <v>58.3018</v>
      </c>
      <c r="K738" s="9">
        <v>59.755760000000002</v>
      </c>
      <c r="L738" s="14">
        <v>42.628459999999997</v>
      </c>
      <c r="M738" s="9">
        <v>58.801290000000002</v>
      </c>
      <c r="N738" s="9">
        <v>62.271949999999997</v>
      </c>
      <c r="O738" s="14">
        <v>43.33831</v>
      </c>
      <c r="P738" s="9">
        <v>59.786110000000001</v>
      </c>
      <c r="Q738" s="9">
        <v>62.640689999999999</v>
      </c>
      <c r="R738" s="23">
        <v>34.854770000000002</v>
      </c>
      <c r="S738" s="8">
        <v>0.70984999999999998</v>
      </c>
      <c r="T738" s="9">
        <v>0.98482000000000003</v>
      </c>
      <c r="U738" s="24">
        <v>0.36874000000000001</v>
      </c>
    </row>
    <row r="739" spans="1:21" ht="12" customHeight="1" x14ac:dyDescent="0.25">
      <c r="A739" s="5">
        <v>1782</v>
      </c>
      <c r="B739" s="19" t="s">
        <v>376</v>
      </c>
      <c r="C739" s="19" t="s">
        <v>12</v>
      </c>
      <c r="D739" s="5" t="s">
        <v>377</v>
      </c>
      <c r="E739" s="6">
        <v>367155.67923198</v>
      </c>
      <c r="F739" s="6">
        <v>6548328.5768120997</v>
      </c>
      <c r="G739" s="7" t="str">
        <f>HYPERLINK("https://minkarta.lantmateriet.se/?e=367155,67923198&amp;n=6548328,5768121&amp;z=12&amp;profile=flygbildmedgranser&amp;background=2&amp;boundaries=true","Visa")</f>
        <v>Visa</v>
      </c>
      <c r="H739" s="5" t="s">
        <v>9</v>
      </c>
      <c r="I739" s="8">
        <v>46.410679999999999</v>
      </c>
      <c r="J739" s="9">
        <v>62.943040000000003</v>
      </c>
      <c r="K739" s="9">
        <v>64.397009999999995</v>
      </c>
      <c r="L739" s="14">
        <v>47.404780000000002</v>
      </c>
      <c r="M739" s="9">
        <v>63.442540000000001</v>
      </c>
      <c r="N739" s="9">
        <v>66.913200000000003</v>
      </c>
      <c r="O739" s="14">
        <v>48.246720000000003</v>
      </c>
      <c r="P739" s="9">
        <v>64.427359999999993</v>
      </c>
      <c r="Q739" s="9">
        <v>67.281940000000006</v>
      </c>
      <c r="R739" s="23">
        <v>32.457210000000003</v>
      </c>
      <c r="S739" s="8">
        <v>0.84194000000000002</v>
      </c>
      <c r="T739" s="9">
        <v>0.98482000000000003</v>
      </c>
      <c r="U739" s="24">
        <v>0.36874000000000001</v>
      </c>
    </row>
    <row r="740" spans="1:21" ht="12" customHeight="1" x14ac:dyDescent="0.25">
      <c r="A740" s="5">
        <v>1783</v>
      </c>
      <c r="B740" s="19" t="s">
        <v>376</v>
      </c>
      <c r="C740" s="19" t="s">
        <v>12</v>
      </c>
      <c r="D740" s="5" t="s">
        <v>377</v>
      </c>
      <c r="E740" s="6">
        <v>367148.05269147002</v>
      </c>
      <c r="F740" s="6">
        <v>6548326.7997340001</v>
      </c>
      <c r="G740" s="7" t="str">
        <f>HYPERLINK("https://minkarta.lantmateriet.se/?e=367148,05269147&amp;n=6548326,799734&amp;z=12&amp;profile=flygbildmedgranser&amp;background=2&amp;boundaries=true","Visa")</f>
        <v>Visa</v>
      </c>
      <c r="H740" s="5" t="s">
        <v>10</v>
      </c>
      <c r="I740" s="8">
        <v>47.209180000000003</v>
      </c>
      <c r="J740" s="9">
        <v>62.773249999999997</v>
      </c>
      <c r="K740" s="9">
        <v>64.227209999999999</v>
      </c>
      <c r="L740" s="14">
        <v>48.180540000000001</v>
      </c>
      <c r="M740" s="9">
        <v>63.272750000000002</v>
      </c>
      <c r="N740" s="9">
        <v>66.743399999999994</v>
      </c>
      <c r="O740" s="14">
        <v>49.018990000000002</v>
      </c>
      <c r="P740" s="9">
        <v>64.257559999999998</v>
      </c>
      <c r="Q740" s="9">
        <v>67.112139999999997</v>
      </c>
      <c r="R740" s="23">
        <v>37.309150000000002</v>
      </c>
      <c r="S740" s="8">
        <v>0.83845000000000003</v>
      </c>
      <c r="T740" s="9">
        <v>0.98480999999999996</v>
      </c>
      <c r="U740" s="24">
        <v>0.36874000000000001</v>
      </c>
    </row>
    <row r="741" spans="1:21" ht="12" customHeight="1" x14ac:dyDescent="0.25">
      <c r="A741" s="5">
        <v>1784</v>
      </c>
      <c r="B741" s="19" t="s">
        <v>376</v>
      </c>
      <c r="C741" s="19" t="s">
        <v>12</v>
      </c>
      <c r="D741" s="5" t="s">
        <v>377</v>
      </c>
      <c r="E741" s="6">
        <v>367150.78226900002</v>
      </c>
      <c r="F741" s="6">
        <v>6548319.4606924998</v>
      </c>
      <c r="G741" s="7" t="str">
        <f>HYPERLINK("https://minkarta.lantmateriet.se/?e=367150,782269&amp;n=6548319,4606925&amp;z=12&amp;profile=flygbildmedgranser&amp;background=2&amp;boundaries=true","Visa")</f>
        <v>Visa</v>
      </c>
      <c r="H741" s="5" t="s">
        <v>11</v>
      </c>
      <c r="I741" s="8">
        <v>41.651299999999999</v>
      </c>
      <c r="J741" s="9">
        <v>56.798110000000001</v>
      </c>
      <c r="K741" s="9">
        <v>58.252079999999999</v>
      </c>
      <c r="L741" s="14">
        <v>42.611640000000001</v>
      </c>
      <c r="M741" s="9">
        <v>57.297609999999999</v>
      </c>
      <c r="N741" s="9">
        <v>60.768259999999998</v>
      </c>
      <c r="O741" s="14">
        <v>43.169899999999998</v>
      </c>
      <c r="P741" s="9">
        <v>58.282420000000002</v>
      </c>
      <c r="Q741" s="9">
        <v>61.137</v>
      </c>
      <c r="R741" s="23">
        <v>35.915790000000001</v>
      </c>
      <c r="S741" s="8">
        <v>0.55825999999999998</v>
      </c>
      <c r="T741" s="9">
        <v>0.98480999999999996</v>
      </c>
      <c r="U741" s="24">
        <v>0.36874000000000001</v>
      </c>
    </row>
    <row r="742" spans="1:21" ht="12" customHeight="1" x14ac:dyDescent="0.25">
      <c r="A742" s="5">
        <v>1786</v>
      </c>
      <c r="B742" s="19" t="s">
        <v>378</v>
      </c>
      <c r="C742" s="19" t="s">
        <v>12</v>
      </c>
      <c r="D742" s="5" t="s">
        <v>379</v>
      </c>
      <c r="E742" s="6">
        <v>367166.09831793001</v>
      </c>
      <c r="F742" s="6">
        <v>6548346.8847653996</v>
      </c>
      <c r="G742" s="7" t="str">
        <f>HYPERLINK("https://minkarta.lantmateriet.se/?e=367166,09831793&amp;n=6548346,8847654&amp;z=12&amp;profile=flygbildmedgranser&amp;background=2&amp;boundaries=true","Visa")</f>
        <v>Visa</v>
      </c>
      <c r="H742" s="5" t="s">
        <v>9</v>
      </c>
      <c r="I742" s="8">
        <v>58.053179999999998</v>
      </c>
      <c r="J742" s="9">
        <v>72.14385</v>
      </c>
      <c r="K742" s="9">
        <v>73.597819999999999</v>
      </c>
      <c r="L742" s="14">
        <v>59.00629</v>
      </c>
      <c r="M742" s="9">
        <v>72.643349999999998</v>
      </c>
      <c r="N742" s="9">
        <v>76.114009999999993</v>
      </c>
      <c r="O742" s="14">
        <v>59.950879999999998</v>
      </c>
      <c r="P742" s="9">
        <v>73.628169999999997</v>
      </c>
      <c r="Q742" s="9">
        <v>76.482740000000007</v>
      </c>
      <c r="R742" s="23">
        <v>35.836840000000002</v>
      </c>
      <c r="S742" s="8">
        <v>0.94459000000000004</v>
      </c>
      <c r="T742" s="9">
        <v>0.98482000000000003</v>
      </c>
      <c r="U742" s="24">
        <v>0.36873</v>
      </c>
    </row>
    <row r="743" spans="1:21" ht="12" customHeight="1" x14ac:dyDescent="0.25">
      <c r="A743" s="5">
        <v>1787</v>
      </c>
      <c r="B743" s="19" t="s">
        <v>378</v>
      </c>
      <c r="C743" s="19" t="s">
        <v>12</v>
      </c>
      <c r="D743" s="5" t="s">
        <v>379</v>
      </c>
      <c r="E743" s="6">
        <v>367158.23823755002</v>
      </c>
      <c r="F743" s="6">
        <v>6548345.4963188004</v>
      </c>
      <c r="G743" s="7" t="str">
        <f>HYPERLINK("https://minkarta.lantmateriet.se/?e=367158,23823755&amp;n=6548345,4963188&amp;z=12&amp;profile=flygbildmedgranser&amp;background=2&amp;boundaries=true","Visa")</f>
        <v>Visa</v>
      </c>
      <c r="H743" s="5" t="s">
        <v>10</v>
      </c>
      <c r="I743" s="8">
        <v>53.756100000000004</v>
      </c>
      <c r="J743" s="9">
        <v>69.616780000000006</v>
      </c>
      <c r="K743" s="9">
        <v>71.070750000000004</v>
      </c>
      <c r="L743" s="14">
        <v>54.731929999999998</v>
      </c>
      <c r="M743" s="9">
        <v>70.116280000000003</v>
      </c>
      <c r="N743" s="9">
        <v>73.586939999999998</v>
      </c>
      <c r="O743" s="14">
        <v>55.652239999999999</v>
      </c>
      <c r="P743" s="9">
        <v>71.101100000000002</v>
      </c>
      <c r="Q743" s="9">
        <v>73.955669999999998</v>
      </c>
      <c r="R743" s="23">
        <v>32.018250000000002</v>
      </c>
      <c r="S743" s="8">
        <v>0.92030999999999996</v>
      </c>
      <c r="T743" s="9">
        <v>0.98482000000000003</v>
      </c>
      <c r="U743" s="24">
        <v>0.36873</v>
      </c>
    </row>
    <row r="744" spans="1:21" ht="12" customHeight="1" x14ac:dyDescent="0.25">
      <c r="A744" s="5">
        <v>1788</v>
      </c>
      <c r="B744" s="19" t="s">
        <v>378</v>
      </c>
      <c r="C744" s="19" t="s">
        <v>12</v>
      </c>
      <c r="D744" s="5" t="s">
        <v>379</v>
      </c>
      <c r="E744" s="6">
        <v>367161.27868469001</v>
      </c>
      <c r="F744" s="6">
        <v>6548338.1167382998</v>
      </c>
      <c r="G744" s="7" t="str">
        <f>HYPERLINK("https://minkarta.lantmateriet.se/?e=367161,27868469&amp;n=6548338,1167383&amp;z=12&amp;profile=flygbildmedgranser&amp;background=2&amp;boundaries=true","Visa")</f>
        <v>Visa</v>
      </c>
      <c r="H744" s="5" t="s">
        <v>11</v>
      </c>
      <c r="I744" s="8">
        <v>45.964939999999999</v>
      </c>
      <c r="J744" s="9">
        <v>60.15363</v>
      </c>
      <c r="K744" s="9">
        <v>61.607590000000002</v>
      </c>
      <c r="L744" s="14">
        <v>46.95317</v>
      </c>
      <c r="M744" s="9">
        <v>60.653129999999997</v>
      </c>
      <c r="N744" s="9">
        <v>64.123779999999996</v>
      </c>
      <c r="O744" s="14">
        <v>47.786850000000001</v>
      </c>
      <c r="P744" s="9">
        <v>61.63794</v>
      </c>
      <c r="Q744" s="9">
        <v>64.492519999999999</v>
      </c>
      <c r="R744" s="23">
        <v>34.084060000000001</v>
      </c>
      <c r="S744" s="8">
        <v>0.83367999999999998</v>
      </c>
      <c r="T744" s="9">
        <v>0.98480999999999996</v>
      </c>
      <c r="U744" s="24">
        <v>0.36874000000000001</v>
      </c>
    </row>
    <row r="745" spans="1:21" ht="12" customHeight="1" x14ac:dyDescent="0.25">
      <c r="A745" s="5">
        <v>1789</v>
      </c>
      <c r="B745" s="19" t="s">
        <v>380</v>
      </c>
      <c r="C745" s="19" t="s">
        <v>12</v>
      </c>
      <c r="D745" s="5" t="s">
        <v>381</v>
      </c>
      <c r="E745" s="6">
        <v>367199.67189113999</v>
      </c>
      <c r="F745" s="6">
        <v>6548332.1295632003</v>
      </c>
      <c r="G745" s="7" t="str">
        <f>HYPERLINK("https://minkarta.lantmateriet.se/?e=367199,67189114&amp;n=6548332,1295632&amp;z=12&amp;profile=flygbildmedgranser&amp;background=2&amp;boundaries=true","Visa")</f>
        <v>Visa</v>
      </c>
      <c r="H745" s="5" t="s">
        <v>13</v>
      </c>
      <c r="I745" s="8">
        <v>55.327750000000002</v>
      </c>
      <c r="J745" s="9">
        <v>72.139780000000002</v>
      </c>
      <c r="K745" s="9">
        <v>73.593739999999997</v>
      </c>
      <c r="L745" s="14">
        <v>56.289369999999998</v>
      </c>
      <c r="M745" s="9">
        <v>72.639269999999996</v>
      </c>
      <c r="N745" s="9">
        <v>76.109930000000006</v>
      </c>
      <c r="O745" s="14">
        <v>57.232489999999999</v>
      </c>
      <c r="P745" s="9">
        <v>73.624089999999995</v>
      </c>
      <c r="Q745" s="9">
        <v>76.478669999999994</v>
      </c>
      <c r="R745" s="23">
        <v>22.53323</v>
      </c>
      <c r="S745" s="8">
        <v>0.94311999999999996</v>
      </c>
      <c r="T745" s="9">
        <v>0.98482000000000003</v>
      </c>
      <c r="U745" s="24">
        <v>0.36874000000000001</v>
      </c>
    </row>
    <row r="746" spans="1:21" ht="12" customHeight="1" x14ac:dyDescent="0.25">
      <c r="A746" s="5">
        <v>1790</v>
      </c>
      <c r="B746" s="19" t="s">
        <v>380</v>
      </c>
      <c r="C746" s="19" t="s">
        <v>12</v>
      </c>
      <c r="D746" s="5" t="s">
        <v>381</v>
      </c>
      <c r="E746" s="6">
        <v>367195.22693964001</v>
      </c>
      <c r="F746" s="6">
        <v>6548338.9473922001</v>
      </c>
      <c r="G746" s="7" t="str">
        <f>HYPERLINK("https://minkarta.lantmateriet.se/?e=367195,22693964&amp;n=6548338,9473922&amp;z=12&amp;profile=flygbildmedgranser&amp;background=2&amp;boundaries=true","Visa")</f>
        <v>Visa</v>
      </c>
      <c r="H746" s="5" t="s">
        <v>14</v>
      </c>
      <c r="I746" s="8">
        <v>59.967140000000001</v>
      </c>
      <c r="J746" s="9">
        <v>75.736789999999999</v>
      </c>
      <c r="K746" s="9">
        <v>77.190749999999994</v>
      </c>
      <c r="L746" s="14">
        <v>60.917479999999998</v>
      </c>
      <c r="M746" s="9">
        <v>76.236279999999994</v>
      </c>
      <c r="N746" s="9">
        <v>79.706940000000003</v>
      </c>
      <c r="O746" s="14">
        <v>61.866759999999999</v>
      </c>
      <c r="P746" s="9">
        <v>77.221100000000007</v>
      </c>
      <c r="Q746" s="9">
        <v>80.075680000000006</v>
      </c>
      <c r="R746" s="23">
        <v>36.401580000000003</v>
      </c>
      <c r="S746" s="8">
        <v>0.94928000000000001</v>
      </c>
      <c r="T746" s="9">
        <v>0.98482000000000003</v>
      </c>
      <c r="U746" s="24">
        <v>0.36874000000000001</v>
      </c>
    </row>
    <row r="747" spans="1:21" ht="12" customHeight="1" x14ac:dyDescent="0.25">
      <c r="A747" s="5">
        <v>1791</v>
      </c>
      <c r="B747" s="19" t="s">
        <v>380</v>
      </c>
      <c r="C747" s="19" t="s">
        <v>12</v>
      </c>
      <c r="D747" s="5" t="s">
        <v>381</v>
      </c>
      <c r="E747" s="6">
        <v>367187.43061041</v>
      </c>
      <c r="F747" s="6">
        <v>6548336.6119395997</v>
      </c>
      <c r="G747" s="7" t="str">
        <f>HYPERLINK("https://minkarta.lantmateriet.se/?e=367187,43061041&amp;n=6548336,6119396&amp;z=12&amp;profile=flygbildmedgranser&amp;background=2&amp;boundaries=true","Visa")</f>
        <v>Visa</v>
      </c>
      <c r="H747" s="5" t="s">
        <v>16</v>
      </c>
      <c r="I747" s="8">
        <v>54.900179999999999</v>
      </c>
      <c r="J747" s="9">
        <v>72.175960000000003</v>
      </c>
      <c r="K747" s="9">
        <v>73.629930000000002</v>
      </c>
      <c r="L747" s="14">
        <v>55.851410000000001</v>
      </c>
      <c r="M747" s="9">
        <v>72.675460000000001</v>
      </c>
      <c r="N747" s="9">
        <v>76.146129999999999</v>
      </c>
      <c r="O747" s="14">
        <v>56.786969999999997</v>
      </c>
      <c r="P747" s="9">
        <v>73.66028</v>
      </c>
      <c r="Q747" s="9">
        <v>76.514859999999999</v>
      </c>
      <c r="R747" s="23">
        <v>32.233649999999997</v>
      </c>
      <c r="S747" s="8">
        <v>0.93555999999999995</v>
      </c>
      <c r="T747" s="9">
        <v>0.98482000000000003</v>
      </c>
      <c r="U747" s="24">
        <v>0.36873</v>
      </c>
    </row>
    <row r="748" spans="1:21" ht="12" customHeight="1" x14ac:dyDescent="0.25">
      <c r="A748" s="5">
        <v>1792</v>
      </c>
      <c r="B748" s="19" t="s">
        <v>380</v>
      </c>
      <c r="C748" s="19" t="s">
        <v>12</v>
      </c>
      <c r="D748" s="5" t="s">
        <v>381</v>
      </c>
      <c r="E748" s="6">
        <v>367191.87556279002</v>
      </c>
      <c r="F748" s="6">
        <v>6548329.7941116998</v>
      </c>
      <c r="G748" s="7" t="str">
        <f>HYPERLINK("https://minkarta.lantmateriet.se/?e=367191,87556279&amp;n=6548329,7941117&amp;z=12&amp;profile=flygbildmedgranser&amp;background=2&amp;boundaries=true","Visa")</f>
        <v>Visa</v>
      </c>
      <c r="H748" s="5" t="s">
        <v>15</v>
      </c>
      <c r="I748" s="8">
        <v>46.355870000000003</v>
      </c>
      <c r="J748" s="9">
        <v>60.257159999999999</v>
      </c>
      <c r="K748" s="9">
        <v>61.711120000000001</v>
      </c>
      <c r="L748" s="14">
        <v>47.291020000000003</v>
      </c>
      <c r="M748" s="9">
        <v>60.756659999999997</v>
      </c>
      <c r="N748" s="9">
        <v>64.227320000000006</v>
      </c>
      <c r="O748" s="14">
        <v>48.05545</v>
      </c>
      <c r="P748" s="9">
        <v>61.74147</v>
      </c>
      <c r="Q748" s="9">
        <v>64.596050000000005</v>
      </c>
      <c r="R748" s="23">
        <v>28.78058</v>
      </c>
      <c r="S748" s="8">
        <v>0.76443000000000005</v>
      </c>
      <c r="T748" s="9">
        <v>0.98480999999999996</v>
      </c>
      <c r="U748" s="24">
        <v>0.36873</v>
      </c>
    </row>
    <row r="749" spans="1:21" ht="12" customHeight="1" x14ac:dyDescent="0.25">
      <c r="A749" s="5">
        <v>1793</v>
      </c>
      <c r="B749" s="19" t="s">
        <v>382</v>
      </c>
      <c r="C749" s="19" t="s">
        <v>12</v>
      </c>
      <c r="D749" s="5" t="s">
        <v>383</v>
      </c>
      <c r="E749" s="6">
        <v>367191.83190385997</v>
      </c>
      <c r="F749" s="6">
        <v>6548310.6240980998</v>
      </c>
      <c r="G749" s="7" t="str">
        <f>HYPERLINK("https://minkarta.lantmateriet.se/?e=367191,83190386&amp;n=6548310,6240981&amp;z=12&amp;profile=flygbildmedgranser&amp;background=2&amp;boundaries=true","Visa")</f>
        <v>Visa</v>
      </c>
      <c r="H749" s="5" t="s">
        <v>13</v>
      </c>
      <c r="I749" s="8">
        <v>47.761769999999999</v>
      </c>
      <c r="J749" s="9">
        <v>64.131720000000001</v>
      </c>
      <c r="K749" s="9">
        <v>65.58569</v>
      </c>
      <c r="L749" s="14">
        <v>48.712049999999998</v>
      </c>
      <c r="M749" s="9">
        <v>64.631219999999999</v>
      </c>
      <c r="N749" s="9">
        <v>68.101879999999994</v>
      </c>
      <c r="O749" s="14">
        <v>49.602690000000003</v>
      </c>
      <c r="P749" s="9">
        <v>65.616039999999998</v>
      </c>
      <c r="Q749" s="9">
        <v>68.470609999999994</v>
      </c>
      <c r="R749" s="23">
        <v>26.868230000000001</v>
      </c>
      <c r="S749" s="8">
        <v>0.89063999999999999</v>
      </c>
      <c r="T749" s="9">
        <v>0.98482000000000003</v>
      </c>
      <c r="U749" s="24">
        <v>0.36873</v>
      </c>
    </row>
    <row r="750" spans="1:21" ht="12" customHeight="1" x14ac:dyDescent="0.25">
      <c r="A750" s="5">
        <v>1794</v>
      </c>
      <c r="B750" s="19" t="s">
        <v>382</v>
      </c>
      <c r="C750" s="19" t="s">
        <v>12</v>
      </c>
      <c r="D750" s="5" t="s">
        <v>383</v>
      </c>
      <c r="E750" s="6">
        <v>367187.95840504998</v>
      </c>
      <c r="F750" s="6">
        <v>6548317.2314048</v>
      </c>
      <c r="G750" s="7" t="str">
        <f>HYPERLINK("https://minkarta.lantmateriet.se/?e=367187,95840505&amp;n=6548317,2314048&amp;z=12&amp;profile=flygbildmedgranser&amp;background=2&amp;boundaries=true","Visa")</f>
        <v>Visa</v>
      </c>
      <c r="H750" s="5" t="s">
        <v>14</v>
      </c>
      <c r="I750" s="8">
        <v>47.832270000000001</v>
      </c>
      <c r="J750" s="9">
        <v>65.868679999999998</v>
      </c>
      <c r="K750" s="9">
        <v>67.322649999999996</v>
      </c>
      <c r="L750" s="14">
        <v>48.781129999999997</v>
      </c>
      <c r="M750" s="9">
        <v>66.368179999999995</v>
      </c>
      <c r="N750" s="9">
        <v>69.838840000000005</v>
      </c>
      <c r="O750" s="14">
        <v>49.67783</v>
      </c>
      <c r="P750" s="9">
        <v>67.352999999999994</v>
      </c>
      <c r="Q750" s="9">
        <v>70.207570000000004</v>
      </c>
      <c r="R750" s="23">
        <v>38.234000000000002</v>
      </c>
      <c r="S750" s="8">
        <v>0.89670000000000005</v>
      </c>
      <c r="T750" s="9">
        <v>0.98482000000000003</v>
      </c>
      <c r="U750" s="24">
        <v>0.36873</v>
      </c>
    </row>
    <row r="751" spans="1:21" ht="12" customHeight="1" x14ac:dyDescent="0.25">
      <c r="A751" s="5">
        <v>1795</v>
      </c>
      <c r="B751" s="19" t="s">
        <v>382</v>
      </c>
      <c r="C751" s="19" t="s">
        <v>12</v>
      </c>
      <c r="D751" s="5" t="s">
        <v>383</v>
      </c>
      <c r="E751" s="6">
        <v>367180.75209879997</v>
      </c>
      <c r="F751" s="6">
        <v>6548314.6349077001</v>
      </c>
      <c r="G751" s="7" t="str">
        <f>HYPERLINK("https://minkarta.lantmateriet.se/?e=367180,7520988&amp;n=6548314,6349077&amp;z=12&amp;profile=flygbildmedgranser&amp;background=2&amp;boundaries=true","Visa")</f>
        <v>Visa</v>
      </c>
      <c r="H751" s="5" t="s">
        <v>16</v>
      </c>
      <c r="I751" s="8">
        <v>43.832470000000001</v>
      </c>
      <c r="J751" s="9">
        <v>59.833649999999999</v>
      </c>
      <c r="K751" s="9">
        <v>61.287619999999997</v>
      </c>
      <c r="L751" s="14">
        <v>44.771509999999999</v>
      </c>
      <c r="M751" s="9">
        <v>60.333150000000003</v>
      </c>
      <c r="N751" s="9">
        <v>63.803809999999999</v>
      </c>
      <c r="O751" s="14">
        <v>45.449359999999999</v>
      </c>
      <c r="P751" s="9">
        <v>61.317970000000003</v>
      </c>
      <c r="Q751" s="9">
        <v>64.172550000000001</v>
      </c>
      <c r="R751" s="23">
        <v>32.732810000000001</v>
      </c>
      <c r="S751" s="8">
        <v>0.67784999999999995</v>
      </c>
      <c r="T751" s="9">
        <v>0.98482000000000003</v>
      </c>
      <c r="U751" s="24">
        <v>0.36874000000000001</v>
      </c>
    </row>
    <row r="752" spans="1:21" ht="12" customHeight="1" x14ac:dyDescent="0.25">
      <c r="A752" s="5">
        <v>1796</v>
      </c>
      <c r="B752" s="19" t="s">
        <v>382</v>
      </c>
      <c r="C752" s="19" t="s">
        <v>12</v>
      </c>
      <c r="D752" s="5" t="s">
        <v>383</v>
      </c>
      <c r="E752" s="6">
        <v>367184.62559750001</v>
      </c>
      <c r="F752" s="6">
        <v>6548308.0275990004</v>
      </c>
      <c r="G752" s="7" t="str">
        <f>HYPERLINK("https://minkarta.lantmateriet.se/?e=367184,6255975&amp;n=6548308,027599&amp;z=12&amp;profile=flygbildmedgranser&amp;background=2&amp;boundaries=true","Visa")</f>
        <v>Visa</v>
      </c>
      <c r="H752" s="5" t="s">
        <v>15</v>
      </c>
      <c r="I752" s="8">
        <v>42.702979999999997</v>
      </c>
      <c r="J752" s="9">
        <v>57.236409999999999</v>
      </c>
      <c r="K752" s="9">
        <v>58.690379999999998</v>
      </c>
      <c r="L752" s="14">
        <v>43.655749999999998</v>
      </c>
      <c r="M752" s="9">
        <v>57.735909999999997</v>
      </c>
      <c r="N752" s="9">
        <v>61.206569999999999</v>
      </c>
      <c r="O752" s="14">
        <v>44.244120000000002</v>
      </c>
      <c r="P752" s="9">
        <v>58.720730000000003</v>
      </c>
      <c r="Q752" s="9">
        <v>61.575299999999999</v>
      </c>
      <c r="R752" s="23">
        <v>34.342149999999997</v>
      </c>
      <c r="S752" s="8">
        <v>0.58836999999999995</v>
      </c>
      <c r="T752" s="9">
        <v>0.98482000000000003</v>
      </c>
      <c r="U752" s="24">
        <v>0.36873</v>
      </c>
    </row>
    <row r="753" spans="1:21" ht="12" customHeight="1" x14ac:dyDescent="0.25">
      <c r="A753" s="5">
        <v>1797</v>
      </c>
      <c r="B753" s="19" t="s">
        <v>384</v>
      </c>
      <c r="C753" s="19" t="s">
        <v>12</v>
      </c>
      <c r="D753" s="5" t="s">
        <v>385</v>
      </c>
      <c r="E753" s="6">
        <v>367183.97340896999</v>
      </c>
      <c r="F753" s="6">
        <v>6548289.2916123001</v>
      </c>
      <c r="G753" s="7" t="str">
        <f>HYPERLINK("https://minkarta.lantmateriet.se/?e=367183,97340897&amp;n=6548289,2916123&amp;z=12&amp;profile=flygbildmedgranser&amp;background=2&amp;boundaries=true","Visa")</f>
        <v>Visa</v>
      </c>
      <c r="H753" s="5" t="s">
        <v>13</v>
      </c>
      <c r="I753" s="8">
        <v>42.47372</v>
      </c>
      <c r="J753" s="9">
        <v>59.414520000000003</v>
      </c>
      <c r="K753" s="9">
        <v>60.868479999999998</v>
      </c>
      <c r="L753" s="14">
        <v>43.403350000000003</v>
      </c>
      <c r="M753" s="9">
        <v>59.914020000000001</v>
      </c>
      <c r="N753" s="9">
        <v>63.384680000000003</v>
      </c>
      <c r="O753" s="14">
        <v>44.111820000000002</v>
      </c>
      <c r="P753" s="9">
        <v>60.89884</v>
      </c>
      <c r="Q753" s="9">
        <v>63.753410000000002</v>
      </c>
      <c r="R753" s="23">
        <v>22.39978</v>
      </c>
      <c r="S753" s="8">
        <v>0.70847000000000004</v>
      </c>
      <c r="T753" s="9">
        <v>0.98482000000000003</v>
      </c>
      <c r="U753" s="24">
        <v>0.36873</v>
      </c>
    </row>
    <row r="754" spans="1:21" ht="12" customHeight="1" x14ac:dyDescent="0.25">
      <c r="A754" s="5">
        <v>1798</v>
      </c>
      <c r="B754" s="19" t="s">
        <v>384</v>
      </c>
      <c r="C754" s="19" t="s">
        <v>12</v>
      </c>
      <c r="D754" s="5" t="s">
        <v>385</v>
      </c>
      <c r="E754" s="6">
        <v>367180.16789097001</v>
      </c>
      <c r="F754" s="6">
        <v>6548296.0639099004</v>
      </c>
      <c r="G754" s="7" t="str">
        <f>HYPERLINK("https://minkarta.lantmateriet.se/?e=367180,16789097&amp;n=6548296,0639099&amp;z=12&amp;profile=flygbildmedgranser&amp;background=2&amp;boundaries=true","Visa")</f>
        <v>Visa</v>
      </c>
      <c r="H754" s="5" t="s">
        <v>14</v>
      </c>
      <c r="I754" s="8">
        <v>40.953510000000001</v>
      </c>
      <c r="J754" s="9">
        <v>59.365560000000002</v>
      </c>
      <c r="K754" s="9">
        <v>60.819519999999997</v>
      </c>
      <c r="L754" s="14">
        <v>41.91816</v>
      </c>
      <c r="M754" s="9">
        <v>59.86506</v>
      </c>
      <c r="N754" s="9">
        <v>63.335720000000002</v>
      </c>
      <c r="O754" s="14">
        <v>42.520699999999998</v>
      </c>
      <c r="P754" s="9">
        <v>60.849870000000003</v>
      </c>
      <c r="Q754" s="9">
        <v>63.704450000000001</v>
      </c>
      <c r="R754" s="23">
        <v>25.467140000000001</v>
      </c>
      <c r="S754" s="8">
        <v>0.60253999999999996</v>
      </c>
      <c r="T754" s="9">
        <v>0.98480999999999996</v>
      </c>
      <c r="U754" s="24">
        <v>0.36873</v>
      </c>
    </row>
    <row r="755" spans="1:21" ht="12" customHeight="1" x14ac:dyDescent="0.25">
      <c r="A755" s="5">
        <v>1799</v>
      </c>
      <c r="B755" s="19" t="s">
        <v>384</v>
      </c>
      <c r="C755" s="19" t="s">
        <v>12</v>
      </c>
      <c r="D755" s="5" t="s">
        <v>385</v>
      </c>
      <c r="E755" s="6">
        <v>367172.91759303003</v>
      </c>
      <c r="F755" s="6">
        <v>6548293.2753916997</v>
      </c>
      <c r="G755" s="7" t="str">
        <f>HYPERLINK("https://minkarta.lantmateriet.se/?e=367172,91759303&amp;n=6548293,2753917&amp;z=12&amp;profile=flygbildmedgranser&amp;background=2&amp;boundaries=true","Visa")</f>
        <v>Visa</v>
      </c>
      <c r="H755" s="5" t="s">
        <v>16</v>
      </c>
      <c r="I755" s="8">
        <v>41.40502</v>
      </c>
      <c r="J755" s="9">
        <v>51.747610000000002</v>
      </c>
      <c r="K755" s="9">
        <v>53.201569999999997</v>
      </c>
      <c r="L755" s="14">
        <v>42.347630000000002</v>
      </c>
      <c r="M755" s="9">
        <v>52.247100000000003</v>
      </c>
      <c r="N755" s="9">
        <v>55.717759999999998</v>
      </c>
      <c r="O755" s="14">
        <v>42.693330000000003</v>
      </c>
      <c r="P755" s="9">
        <v>53.231920000000002</v>
      </c>
      <c r="Q755" s="9">
        <v>56.086500000000001</v>
      </c>
      <c r="R755" s="23">
        <v>37.189140000000002</v>
      </c>
      <c r="S755" s="8">
        <v>0.34570000000000001</v>
      </c>
      <c r="T755" s="9">
        <v>0.98482000000000003</v>
      </c>
      <c r="U755" s="24">
        <v>0.36874000000000001</v>
      </c>
    </row>
    <row r="756" spans="1:21" ht="12" customHeight="1" x14ac:dyDescent="0.25">
      <c r="A756" s="5">
        <v>1800</v>
      </c>
      <c r="B756" s="19" t="s">
        <v>384</v>
      </c>
      <c r="C756" s="19" t="s">
        <v>12</v>
      </c>
      <c r="D756" s="5" t="s">
        <v>385</v>
      </c>
      <c r="E756" s="6">
        <v>367176.72311103001</v>
      </c>
      <c r="F756" s="6">
        <v>6548286.5030941004</v>
      </c>
      <c r="G756" s="7" t="str">
        <f>HYPERLINK("https://minkarta.lantmateriet.se/?e=367176,72311103&amp;n=6548286,5030941&amp;z=12&amp;profile=flygbildmedgranser&amp;background=2&amp;boundaries=true","Visa")</f>
        <v>Visa</v>
      </c>
      <c r="H756" s="5" t="s">
        <v>15</v>
      </c>
      <c r="I756" s="8">
        <v>39.75085</v>
      </c>
      <c r="J756" s="9">
        <v>49.184249999999999</v>
      </c>
      <c r="K756" s="9">
        <v>50.638219999999997</v>
      </c>
      <c r="L756" s="14">
        <v>40.687660000000001</v>
      </c>
      <c r="M756" s="9">
        <v>49.683750000000003</v>
      </c>
      <c r="N756" s="9">
        <v>53.154409999999999</v>
      </c>
      <c r="O756" s="14">
        <v>40.766579999999998</v>
      </c>
      <c r="P756" s="9">
        <v>50.668570000000003</v>
      </c>
      <c r="Q756" s="9">
        <v>53.523139999999998</v>
      </c>
      <c r="R756" s="23">
        <v>34.67409</v>
      </c>
      <c r="S756" s="8">
        <v>7.8920000000000004E-2</v>
      </c>
      <c r="T756" s="9">
        <v>0.98482000000000003</v>
      </c>
      <c r="U756" s="24">
        <v>0.36873</v>
      </c>
    </row>
    <row r="757" spans="1:21" ht="12" customHeight="1" x14ac:dyDescent="0.25">
      <c r="A757" s="5">
        <v>1801</v>
      </c>
      <c r="B757" s="19" t="s">
        <v>386</v>
      </c>
      <c r="C757" s="19" t="s">
        <v>12</v>
      </c>
      <c r="D757" s="5" t="s">
        <v>387</v>
      </c>
      <c r="E757" s="6">
        <v>367176.32639215997</v>
      </c>
      <c r="F757" s="6">
        <v>6548268.7430659998</v>
      </c>
      <c r="G757" s="7" t="str">
        <f>HYPERLINK("https://minkarta.lantmateriet.se/?e=367176,32639216&amp;n=6548268,743066&amp;z=12&amp;profile=flygbildmedgranser&amp;background=2&amp;boundaries=true","Visa")</f>
        <v>Visa</v>
      </c>
      <c r="H757" s="5" t="s">
        <v>13</v>
      </c>
      <c r="I757" s="8">
        <v>40.723419999999997</v>
      </c>
      <c r="J757" s="9">
        <v>56.599530000000001</v>
      </c>
      <c r="K757" s="9">
        <v>58.053489999999996</v>
      </c>
      <c r="L757" s="14">
        <v>41.640749999999997</v>
      </c>
      <c r="M757" s="9">
        <v>57.099029999999999</v>
      </c>
      <c r="N757" s="9">
        <v>60.569690000000001</v>
      </c>
      <c r="O757" s="14">
        <v>42.186979999999998</v>
      </c>
      <c r="P757" s="9">
        <v>58.083849999999998</v>
      </c>
      <c r="Q757" s="9">
        <v>60.938420000000001</v>
      </c>
      <c r="R757" s="23">
        <v>31.27844</v>
      </c>
      <c r="S757" s="8">
        <v>0.54622999999999999</v>
      </c>
      <c r="T757" s="9">
        <v>0.98482000000000003</v>
      </c>
      <c r="U757" s="24">
        <v>0.36873</v>
      </c>
    </row>
    <row r="758" spans="1:21" ht="12" customHeight="1" x14ac:dyDescent="0.25">
      <c r="A758" s="5">
        <v>1802</v>
      </c>
      <c r="B758" s="19" t="s">
        <v>386</v>
      </c>
      <c r="C758" s="19" t="s">
        <v>12</v>
      </c>
      <c r="D758" s="5" t="s">
        <v>387</v>
      </c>
      <c r="E758" s="6">
        <v>367172.57793655997</v>
      </c>
      <c r="F758" s="6">
        <v>6548275.6008933</v>
      </c>
      <c r="G758" s="7" t="str">
        <f>HYPERLINK("https://minkarta.lantmateriet.se/?e=367172,57793656&amp;n=6548275,6008933&amp;z=12&amp;profile=flygbildmedgranser&amp;background=2&amp;boundaries=true","Visa")</f>
        <v>Visa</v>
      </c>
      <c r="H758" s="5" t="s">
        <v>14</v>
      </c>
      <c r="I758" s="8">
        <v>39.029940000000003</v>
      </c>
      <c r="J758" s="9">
        <v>41.830620000000003</v>
      </c>
      <c r="K758" s="9">
        <v>43.284579999999998</v>
      </c>
      <c r="L758" s="14">
        <v>39.98516</v>
      </c>
      <c r="M758" s="9">
        <v>42.330120000000001</v>
      </c>
      <c r="N758" s="9">
        <v>45.80077</v>
      </c>
      <c r="O758" s="14">
        <v>40.42754</v>
      </c>
      <c r="P758" s="9">
        <v>43.314929999999997</v>
      </c>
      <c r="Q758" s="9">
        <v>46.169510000000002</v>
      </c>
      <c r="R758" s="23">
        <v>30.67296</v>
      </c>
      <c r="S758" s="8">
        <v>0.44238</v>
      </c>
      <c r="T758" s="9">
        <v>0.98480999999999996</v>
      </c>
      <c r="U758" s="24">
        <v>0.36874000000000001</v>
      </c>
    </row>
    <row r="759" spans="1:21" ht="12" customHeight="1" x14ac:dyDescent="0.25">
      <c r="A759" s="5">
        <v>1804</v>
      </c>
      <c r="B759" s="19" t="s">
        <v>386</v>
      </c>
      <c r="C759" s="19" t="s">
        <v>12</v>
      </c>
      <c r="D759" s="5" t="s">
        <v>387</v>
      </c>
      <c r="E759" s="6">
        <v>367169.03756516997</v>
      </c>
      <c r="F759" s="6">
        <v>6548265.9231107999</v>
      </c>
      <c r="G759" s="7" t="str">
        <f>HYPERLINK("https://minkarta.lantmateriet.se/?e=367169,03756517&amp;n=6548265,9231108&amp;z=12&amp;profile=flygbildmedgranser&amp;background=2&amp;boundaries=true","Visa")</f>
        <v>Visa</v>
      </c>
      <c r="H759" s="5" t="s">
        <v>15</v>
      </c>
      <c r="I759" s="8">
        <v>39.508749999999999</v>
      </c>
      <c r="J759" s="9">
        <v>49.693080000000002</v>
      </c>
      <c r="K759" s="9">
        <v>51.14705</v>
      </c>
      <c r="L759" s="14">
        <v>40.443809999999999</v>
      </c>
      <c r="M759" s="9">
        <v>50.19258</v>
      </c>
      <c r="N759" s="9">
        <v>53.663240000000002</v>
      </c>
      <c r="O759" s="14">
        <v>40.647979999999997</v>
      </c>
      <c r="P759" s="9">
        <v>51.177399999999999</v>
      </c>
      <c r="Q759" s="9">
        <v>54.031970000000001</v>
      </c>
      <c r="R759" s="23">
        <v>32.261400000000002</v>
      </c>
      <c r="S759" s="8">
        <v>0.20416999999999999</v>
      </c>
      <c r="T759" s="9">
        <v>0.98482000000000003</v>
      </c>
      <c r="U759" s="24">
        <v>0.36873</v>
      </c>
    </row>
    <row r="760" spans="1:21" ht="12" customHeight="1" x14ac:dyDescent="0.25">
      <c r="A760" s="5">
        <v>1805</v>
      </c>
      <c r="B760" s="19" t="s">
        <v>388</v>
      </c>
      <c r="C760" s="19" t="s">
        <v>12</v>
      </c>
      <c r="D760" s="5" t="s">
        <v>389</v>
      </c>
      <c r="E760" s="6">
        <v>367168.55741317</v>
      </c>
      <c r="F760" s="6">
        <v>6548248.0951239998</v>
      </c>
      <c r="G760" s="7" t="str">
        <f>HYPERLINK("https://minkarta.lantmateriet.se/?e=367168,55741317&amp;n=6548248,095124&amp;z=12&amp;profile=flygbildmedgranser&amp;background=2&amp;boundaries=true","Visa")</f>
        <v>Visa</v>
      </c>
      <c r="H760" s="5" t="s">
        <v>13</v>
      </c>
      <c r="I760" s="8">
        <v>40.177190000000003</v>
      </c>
      <c r="J760" s="9">
        <v>54.661879999999996</v>
      </c>
      <c r="K760" s="9">
        <v>56.115839999999999</v>
      </c>
      <c r="L760" s="14">
        <v>41.1175</v>
      </c>
      <c r="M760" s="9">
        <v>55.161380000000001</v>
      </c>
      <c r="N760" s="9">
        <v>58.63203</v>
      </c>
      <c r="O760" s="14">
        <v>41.648530000000001</v>
      </c>
      <c r="P760" s="9">
        <v>56.146189999999997</v>
      </c>
      <c r="Q760" s="9">
        <v>59.000770000000003</v>
      </c>
      <c r="R760" s="23">
        <v>24.497509999999998</v>
      </c>
      <c r="S760" s="8">
        <v>0.53103</v>
      </c>
      <c r="T760" s="9">
        <v>0.98480999999999996</v>
      </c>
      <c r="U760" s="24">
        <v>0.36874000000000001</v>
      </c>
    </row>
    <row r="761" spans="1:21" ht="12" customHeight="1" x14ac:dyDescent="0.25">
      <c r="A761" s="5">
        <v>1806</v>
      </c>
      <c r="B761" s="19" t="s">
        <v>388</v>
      </c>
      <c r="C761" s="19" t="s">
        <v>12</v>
      </c>
      <c r="D761" s="5" t="s">
        <v>389</v>
      </c>
      <c r="E761" s="6">
        <v>367164.83187984</v>
      </c>
      <c r="F761" s="6">
        <v>6548254.8814139003</v>
      </c>
      <c r="G761" s="7" t="str">
        <f>HYPERLINK("https://minkarta.lantmateriet.se/?e=367164,83187984&amp;n=6548254,8814139&amp;z=12&amp;profile=flygbildmedgranser&amp;background=2&amp;boundaries=true","Visa")</f>
        <v>Visa</v>
      </c>
      <c r="H761" s="5" t="s">
        <v>14</v>
      </c>
      <c r="I761" s="8">
        <v>39.188659999999999</v>
      </c>
      <c r="J761" s="9">
        <v>51.210450000000002</v>
      </c>
      <c r="K761" s="9">
        <v>52.664409999999997</v>
      </c>
      <c r="L761" s="14">
        <v>40.12988</v>
      </c>
      <c r="M761" s="9">
        <v>51.709949999999999</v>
      </c>
      <c r="N761" s="9">
        <v>55.180599999999998</v>
      </c>
      <c r="O761" s="14">
        <v>40.449750000000002</v>
      </c>
      <c r="P761" s="9">
        <v>52.694760000000002</v>
      </c>
      <c r="Q761" s="9">
        <v>55.549340000000001</v>
      </c>
      <c r="R761" s="23">
        <v>35.620199999999997</v>
      </c>
      <c r="S761" s="8">
        <v>0.31986999999999999</v>
      </c>
      <c r="T761" s="9">
        <v>0.98480999999999996</v>
      </c>
      <c r="U761" s="24">
        <v>0.36874000000000001</v>
      </c>
    </row>
    <row r="762" spans="1:21" ht="12" customHeight="1" x14ac:dyDescent="0.25">
      <c r="A762" s="5">
        <v>1808</v>
      </c>
      <c r="B762" s="19" t="s">
        <v>388</v>
      </c>
      <c r="C762" s="19" t="s">
        <v>12</v>
      </c>
      <c r="D762" s="5" t="s">
        <v>389</v>
      </c>
      <c r="E762" s="6">
        <v>367161.36712292</v>
      </c>
      <c r="F762" s="6">
        <v>6548245.2270897999</v>
      </c>
      <c r="G762" s="7" t="str">
        <f>HYPERLINK("https://minkarta.lantmateriet.se/?e=367161,36712292&amp;n=6548245,2270898&amp;z=12&amp;profile=flygbildmedgranser&amp;background=2&amp;boundaries=true","Visa")</f>
        <v>Visa</v>
      </c>
      <c r="H762" s="5" t="s">
        <v>15</v>
      </c>
      <c r="I762" s="8">
        <v>39.171759999999999</v>
      </c>
      <c r="J762" s="9">
        <v>42.18282</v>
      </c>
      <c r="K762" s="9">
        <v>43.711399999999998</v>
      </c>
      <c r="L762" s="14">
        <v>40.101799999999997</v>
      </c>
      <c r="M762" s="9">
        <v>42.611930000000001</v>
      </c>
      <c r="N762" s="9">
        <v>44.229900000000001</v>
      </c>
      <c r="O762" s="14">
        <v>40.27657</v>
      </c>
      <c r="P762" s="9">
        <v>42.64038</v>
      </c>
      <c r="Q762" s="9">
        <v>44.259219999999999</v>
      </c>
      <c r="R762" s="23">
        <v>32.675910000000002</v>
      </c>
      <c r="S762" s="8">
        <v>0.17477000000000001</v>
      </c>
      <c r="T762" s="9">
        <v>2.845E-2</v>
      </c>
      <c r="U762" s="24">
        <v>2.9319999999999999E-2</v>
      </c>
    </row>
    <row r="763" spans="1:21" ht="12" customHeight="1" x14ac:dyDescent="0.25">
      <c r="A763" s="5">
        <v>1809</v>
      </c>
      <c r="B763" s="19" t="s">
        <v>390</v>
      </c>
      <c r="C763" s="19" t="s">
        <v>12</v>
      </c>
      <c r="D763" s="5" t="s">
        <v>391</v>
      </c>
      <c r="E763" s="6">
        <v>367161.03588838002</v>
      </c>
      <c r="F763" s="6">
        <v>6548227.4215556998</v>
      </c>
      <c r="G763" s="7" t="str">
        <f>HYPERLINK("https://minkarta.lantmateriet.se/?e=367161,03588838&amp;n=6548227,4215557&amp;z=12&amp;profile=flygbildmedgranser&amp;background=2&amp;boundaries=true","Visa")</f>
        <v>Visa</v>
      </c>
      <c r="H763" s="5" t="s">
        <v>13</v>
      </c>
      <c r="I763" s="8">
        <v>40.247929999999997</v>
      </c>
      <c r="J763" s="9">
        <v>52.97383</v>
      </c>
      <c r="K763" s="9">
        <v>54.427790000000002</v>
      </c>
      <c r="L763" s="14">
        <v>41.184730000000002</v>
      </c>
      <c r="M763" s="9">
        <v>53.473320000000001</v>
      </c>
      <c r="N763" s="9">
        <v>56.943980000000003</v>
      </c>
      <c r="O763" s="14">
        <v>41.562820000000002</v>
      </c>
      <c r="P763" s="9">
        <v>54.458150000000003</v>
      </c>
      <c r="Q763" s="9">
        <v>57.312719999999999</v>
      </c>
      <c r="R763" s="23">
        <v>33.53078</v>
      </c>
      <c r="S763" s="8">
        <v>0.37808999999999998</v>
      </c>
      <c r="T763" s="9">
        <v>0.98482999999999998</v>
      </c>
      <c r="U763" s="24">
        <v>0.36874000000000001</v>
      </c>
    </row>
    <row r="764" spans="1:21" ht="12" customHeight="1" x14ac:dyDescent="0.25">
      <c r="A764" s="5">
        <v>1810</v>
      </c>
      <c r="B764" s="19" t="s">
        <v>390</v>
      </c>
      <c r="C764" s="19" t="s">
        <v>12</v>
      </c>
      <c r="D764" s="5" t="s">
        <v>391</v>
      </c>
      <c r="E764" s="6">
        <v>367157.32594805001</v>
      </c>
      <c r="F764" s="6">
        <v>6548234.2858891003</v>
      </c>
      <c r="G764" s="7" t="str">
        <f>HYPERLINK("https://minkarta.lantmateriet.se/?e=367157,32594805&amp;n=6548234,2858891&amp;z=12&amp;profile=flygbildmedgranser&amp;background=2&amp;boundaries=true","Visa")</f>
        <v>Visa</v>
      </c>
      <c r="H764" s="5" t="s">
        <v>14</v>
      </c>
      <c r="I764" s="8">
        <v>38.278860000000002</v>
      </c>
      <c r="J764" s="9">
        <v>39.525779999999997</v>
      </c>
      <c r="K764" s="9">
        <v>41.054360000000003</v>
      </c>
      <c r="L764" s="14">
        <v>39.221089999999997</v>
      </c>
      <c r="M764" s="9">
        <v>39.954880000000003</v>
      </c>
      <c r="N764" s="9">
        <v>42.827210000000001</v>
      </c>
      <c r="O764" s="14">
        <v>39.235439999999997</v>
      </c>
      <c r="P764" s="9">
        <v>40.341369999999998</v>
      </c>
      <c r="Q764" s="9">
        <v>43.195950000000003</v>
      </c>
      <c r="R764" s="23">
        <v>32.998280000000001</v>
      </c>
      <c r="S764" s="8">
        <v>1.435E-2</v>
      </c>
      <c r="T764" s="9">
        <v>0.38649</v>
      </c>
      <c r="U764" s="24">
        <v>0.36874000000000001</v>
      </c>
    </row>
    <row r="765" spans="1:21" ht="12" customHeight="1" x14ac:dyDescent="0.25">
      <c r="A765" s="5">
        <v>1811</v>
      </c>
      <c r="B765" s="19" t="s">
        <v>390</v>
      </c>
      <c r="C765" s="19" t="s">
        <v>12</v>
      </c>
      <c r="D765" s="5" t="s">
        <v>391</v>
      </c>
      <c r="E765" s="6">
        <v>367150.05611349997</v>
      </c>
      <c r="F765" s="6">
        <v>6548231.4529480003</v>
      </c>
      <c r="G765" s="7" t="str">
        <f>HYPERLINK("https://minkarta.lantmateriet.se/?e=367150,0561135&amp;n=6548231,452948&amp;z=12&amp;profile=flygbildmedgranser&amp;background=2&amp;boundaries=true","Visa")</f>
        <v>Visa</v>
      </c>
      <c r="H765" s="5" t="s">
        <v>16</v>
      </c>
      <c r="I765" s="8">
        <v>39.630490000000002</v>
      </c>
      <c r="J765" s="9">
        <v>43.464350000000003</v>
      </c>
      <c r="K765" s="9">
        <v>44.992930000000001</v>
      </c>
      <c r="L765" s="14">
        <v>40.570889999999999</v>
      </c>
      <c r="M765" s="9">
        <v>43.893459999999997</v>
      </c>
      <c r="N765" s="9">
        <v>45.511429999999997</v>
      </c>
      <c r="O765" s="14">
        <v>40.711939999999998</v>
      </c>
      <c r="P765" s="9">
        <v>43.921909999999997</v>
      </c>
      <c r="Q765" s="9">
        <v>45.54074</v>
      </c>
      <c r="R765" s="23">
        <v>35.32705</v>
      </c>
      <c r="S765" s="8">
        <v>0.14105000000000001</v>
      </c>
      <c r="T765" s="9">
        <v>2.845E-2</v>
      </c>
      <c r="U765" s="24">
        <v>2.9309999999999999E-2</v>
      </c>
    </row>
    <row r="766" spans="1:21" ht="12" customHeight="1" x14ac:dyDescent="0.25">
      <c r="A766" s="5">
        <v>1812</v>
      </c>
      <c r="B766" s="19" t="s">
        <v>390</v>
      </c>
      <c r="C766" s="19" t="s">
        <v>12</v>
      </c>
      <c r="D766" s="5" t="s">
        <v>391</v>
      </c>
      <c r="E766" s="6">
        <v>367153.76605470001</v>
      </c>
      <c r="F766" s="6">
        <v>6548224.5886145998</v>
      </c>
      <c r="G766" s="7" t="str">
        <f>HYPERLINK("https://minkarta.lantmateriet.se/?e=367153,7660547&amp;n=6548224,5886146&amp;z=12&amp;profile=flygbildmedgranser&amp;background=2&amp;boundaries=true","Visa")</f>
        <v>Visa</v>
      </c>
      <c r="H766" s="5" t="s">
        <v>15</v>
      </c>
      <c r="I766" s="8">
        <v>40.226430000000001</v>
      </c>
      <c r="J766" s="9">
        <v>49.947659999999999</v>
      </c>
      <c r="K766" s="9">
        <v>51.401629999999997</v>
      </c>
      <c r="L766" s="14">
        <v>41.17013</v>
      </c>
      <c r="M766" s="9">
        <v>50.447159999999997</v>
      </c>
      <c r="N766" s="9">
        <v>53.917819999999999</v>
      </c>
      <c r="O766" s="14">
        <v>41.445569999999996</v>
      </c>
      <c r="P766" s="9">
        <v>51.431980000000003</v>
      </c>
      <c r="Q766" s="9">
        <v>54.286549999999998</v>
      </c>
      <c r="R766" s="23">
        <v>30.166789999999999</v>
      </c>
      <c r="S766" s="8">
        <v>0.27544000000000002</v>
      </c>
      <c r="T766" s="9">
        <v>0.98482000000000003</v>
      </c>
      <c r="U766" s="24">
        <v>0.36873</v>
      </c>
    </row>
    <row r="767" spans="1:21" ht="12" customHeight="1" x14ac:dyDescent="0.25">
      <c r="A767" s="5">
        <v>1871</v>
      </c>
      <c r="B767" s="19" t="s">
        <v>392</v>
      </c>
      <c r="C767" s="19" t="s">
        <v>12</v>
      </c>
      <c r="D767" s="5" t="s">
        <v>393</v>
      </c>
      <c r="E767" s="6">
        <v>367261.16124227998</v>
      </c>
      <c r="F767" s="6">
        <v>6548560.6421887996</v>
      </c>
      <c r="G767" s="7" t="str">
        <f>HYPERLINK("https://minkarta.lantmateriet.se/?e=367261,16124228&amp;n=6548560,6421888&amp;z=12&amp;profile=flygbildmedgranser&amp;background=2&amp;boundaries=true","Visa")</f>
        <v>Visa</v>
      </c>
      <c r="H767" s="5" t="s">
        <v>8</v>
      </c>
      <c r="I767" s="8">
        <v>37.87932</v>
      </c>
      <c r="J767" s="9">
        <v>40.313009999999998</v>
      </c>
      <c r="K767" s="9">
        <v>41.841589999999997</v>
      </c>
      <c r="L767" s="14">
        <v>38.819159999999997</v>
      </c>
      <c r="M767" s="9">
        <v>40.74212</v>
      </c>
      <c r="N767" s="9">
        <v>43.437579999999997</v>
      </c>
      <c r="O767" s="14">
        <v>39.032449999999997</v>
      </c>
      <c r="P767" s="9">
        <v>40.951740000000001</v>
      </c>
      <c r="Q767" s="9">
        <v>43.806310000000003</v>
      </c>
      <c r="R767" s="23">
        <v>23.76961</v>
      </c>
      <c r="S767" s="8">
        <v>0.21329000000000001</v>
      </c>
      <c r="T767" s="9">
        <v>0.20962</v>
      </c>
      <c r="U767" s="24">
        <v>0.36873</v>
      </c>
    </row>
    <row r="768" spans="1:21" ht="12" customHeight="1" x14ac:dyDescent="0.25">
      <c r="A768" s="5">
        <v>1875</v>
      </c>
      <c r="B768" s="19" t="s">
        <v>392</v>
      </c>
      <c r="C768" s="19" t="s">
        <v>12</v>
      </c>
      <c r="D768" s="5" t="s">
        <v>393</v>
      </c>
      <c r="E768" s="6">
        <v>367260.02781571</v>
      </c>
      <c r="F768" s="6">
        <v>6548572.4112414001</v>
      </c>
      <c r="G768" s="7" t="str">
        <f>HYPERLINK("https://minkarta.lantmateriet.se/?e=367260,02781571&amp;n=6548572,4112414&amp;z=12&amp;profile=flygbildmedgranser&amp;background=2&amp;boundaries=true","Visa")</f>
        <v>Visa</v>
      </c>
      <c r="H768" s="5" t="s">
        <v>9</v>
      </c>
      <c r="I768" s="8">
        <v>35.046729999999997</v>
      </c>
      <c r="J768" s="9">
        <v>36.40831</v>
      </c>
      <c r="K768" s="9">
        <v>37.936889999999998</v>
      </c>
      <c r="L768" s="14">
        <v>35.980049999999999</v>
      </c>
      <c r="M768" s="9">
        <v>36.83623</v>
      </c>
      <c r="N768" s="9">
        <v>38.4542</v>
      </c>
      <c r="O768" s="14">
        <v>36.20823</v>
      </c>
      <c r="P768" s="9">
        <v>36.86468</v>
      </c>
      <c r="Q768" s="9">
        <v>38.483519999999999</v>
      </c>
      <c r="R768" s="23">
        <v>23.54851</v>
      </c>
      <c r="S768" s="8">
        <v>0.22817999999999999</v>
      </c>
      <c r="T768" s="9">
        <v>2.845E-2</v>
      </c>
      <c r="U768" s="24">
        <v>2.9319999999999999E-2</v>
      </c>
    </row>
    <row r="769" spans="1:21" ht="12" customHeight="1" x14ac:dyDescent="0.25">
      <c r="A769" s="5">
        <v>1876</v>
      </c>
      <c r="B769" s="19" t="s">
        <v>392</v>
      </c>
      <c r="C769" s="19" t="s">
        <v>12</v>
      </c>
      <c r="D769" s="5" t="s">
        <v>393</v>
      </c>
      <c r="E769" s="6">
        <v>367253.96375594003</v>
      </c>
      <c r="F769" s="6">
        <v>6548569.6478121998</v>
      </c>
      <c r="G769" s="7" t="str">
        <f>HYPERLINK("https://minkarta.lantmateriet.se/?e=367253,96375594&amp;n=6548569,6478122&amp;z=12&amp;profile=flygbildmedgranser&amp;background=2&amp;boundaries=true","Visa")</f>
        <v>Visa</v>
      </c>
      <c r="H769" s="5" t="s">
        <v>10</v>
      </c>
      <c r="I769" s="8">
        <v>34.45129</v>
      </c>
      <c r="J769" s="9">
        <v>35.253720000000001</v>
      </c>
      <c r="K769" s="9">
        <v>36.782299999999999</v>
      </c>
      <c r="L769" s="14">
        <v>35.387099999999997</v>
      </c>
      <c r="M769" s="9">
        <v>35.680959999999999</v>
      </c>
      <c r="N769" s="9">
        <v>37.298920000000003</v>
      </c>
      <c r="O769" s="14">
        <v>35.729300000000002</v>
      </c>
      <c r="P769" s="9">
        <v>35.709409999999998</v>
      </c>
      <c r="Q769" s="9">
        <v>37.49427</v>
      </c>
      <c r="R769" s="23">
        <v>32.444890000000001</v>
      </c>
      <c r="S769" s="8">
        <v>0.3422</v>
      </c>
      <c r="T769" s="9">
        <v>2.845E-2</v>
      </c>
      <c r="U769" s="24">
        <v>0.19535</v>
      </c>
    </row>
    <row r="770" spans="1:21" ht="12" customHeight="1" x14ac:dyDescent="0.25">
      <c r="A770" s="5">
        <v>1877</v>
      </c>
      <c r="B770" s="19" t="s">
        <v>392</v>
      </c>
      <c r="C770" s="19" t="s">
        <v>12</v>
      </c>
      <c r="D770" s="5" t="s">
        <v>393</v>
      </c>
      <c r="E770" s="6">
        <v>367252.51218722999</v>
      </c>
      <c r="F770" s="6">
        <v>6548561.1087614</v>
      </c>
      <c r="G770" s="7" t="str">
        <f>HYPERLINK("https://minkarta.lantmateriet.se/?e=367252,51218723&amp;n=6548561,1087614&amp;z=12&amp;profile=flygbildmedgranser&amp;background=2&amp;boundaries=true","Visa")</f>
        <v>Visa</v>
      </c>
      <c r="H770" s="5" t="s">
        <v>11</v>
      </c>
      <c r="I770" s="8">
        <v>35.966459999999998</v>
      </c>
      <c r="J770" s="9">
        <v>38.808239999999998</v>
      </c>
      <c r="K770" s="9">
        <v>40.2622</v>
      </c>
      <c r="L770" s="14">
        <v>36.906970000000001</v>
      </c>
      <c r="M770" s="9">
        <v>39.307740000000003</v>
      </c>
      <c r="N770" s="9">
        <v>42.778390000000002</v>
      </c>
      <c r="O770" s="14">
        <v>37.250570000000003</v>
      </c>
      <c r="P770" s="9">
        <v>40.293529999999997</v>
      </c>
      <c r="Q770" s="9">
        <v>43.148110000000003</v>
      </c>
      <c r="R770" s="23">
        <v>31.28594</v>
      </c>
      <c r="S770" s="8">
        <v>0.34360000000000002</v>
      </c>
      <c r="T770" s="9">
        <v>0.98579000000000006</v>
      </c>
      <c r="U770" s="24">
        <v>0.36971999999999999</v>
      </c>
    </row>
    <row r="771" spans="1:21" ht="12" customHeight="1" x14ac:dyDescent="0.25">
      <c r="A771" s="5">
        <v>1878</v>
      </c>
      <c r="B771" s="19" t="s">
        <v>394</v>
      </c>
      <c r="C771" s="19" t="s">
        <v>12</v>
      </c>
      <c r="D771" s="5" t="s">
        <v>395</v>
      </c>
      <c r="E771" s="6">
        <v>367103.91834506998</v>
      </c>
      <c r="F771" s="6">
        <v>6548780.4353874</v>
      </c>
      <c r="G771" s="7" t="str">
        <f>HYPERLINK("https://minkarta.lantmateriet.se/?e=367103,91834507&amp;n=6548780,4353874&amp;z=12&amp;profile=flygbildmedgranser&amp;background=2&amp;boundaries=true","Visa")</f>
        <v>Visa</v>
      </c>
      <c r="H771" s="5" t="s">
        <v>8</v>
      </c>
      <c r="I771" s="8">
        <v>38.859549999999999</v>
      </c>
      <c r="J771" s="9">
        <v>41.126449999999998</v>
      </c>
      <c r="K771" s="9">
        <v>42.6952</v>
      </c>
      <c r="L771" s="14">
        <v>39.77704</v>
      </c>
      <c r="M771" s="9">
        <v>41.582979999999999</v>
      </c>
      <c r="N771" s="9">
        <v>43.200699999999998</v>
      </c>
      <c r="O771" s="14">
        <v>40.254489999999997</v>
      </c>
      <c r="P771" s="9">
        <v>42.003189999999996</v>
      </c>
      <c r="Q771" s="9">
        <v>43.230420000000002</v>
      </c>
      <c r="R771" s="23">
        <v>38.913539999999998</v>
      </c>
      <c r="S771" s="8">
        <v>0.47744999999999999</v>
      </c>
      <c r="T771" s="9">
        <v>0.42020999999999997</v>
      </c>
      <c r="U771" s="24">
        <v>2.972E-2</v>
      </c>
    </row>
    <row r="772" spans="1:21" ht="12" customHeight="1" x14ac:dyDescent="0.25">
      <c r="A772" s="5">
        <v>1879</v>
      </c>
      <c r="B772" s="19" t="s">
        <v>394</v>
      </c>
      <c r="C772" s="19" t="s">
        <v>12</v>
      </c>
      <c r="D772" s="5" t="s">
        <v>395</v>
      </c>
      <c r="E772" s="6">
        <v>367107.49661615997</v>
      </c>
      <c r="F772" s="6">
        <v>6548788.8993453002</v>
      </c>
      <c r="G772" s="7" t="str">
        <f>HYPERLINK("https://minkarta.lantmateriet.se/?e=367107,49661616&amp;n=6548788,8993453&amp;z=12&amp;profile=flygbildmedgranser&amp;background=2&amp;boundaries=true","Visa")</f>
        <v>Visa</v>
      </c>
      <c r="H772" s="5" t="s">
        <v>9</v>
      </c>
      <c r="I772" s="8">
        <v>37.640659999999997</v>
      </c>
      <c r="J772" s="9">
        <v>39.690629999999999</v>
      </c>
      <c r="K772" s="9">
        <v>41.25938</v>
      </c>
      <c r="L772" s="14">
        <v>38.54654</v>
      </c>
      <c r="M772" s="9">
        <v>40.14716</v>
      </c>
      <c r="N772" s="9">
        <v>41.764879999999998</v>
      </c>
      <c r="O772" s="14">
        <v>38.634819999999998</v>
      </c>
      <c r="P772" s="9">
        <v>40.178240000000002</v>
      </c>
      <c r="Q772" s="9">
        <v>41.79448</v>
      </c>
      <c r="R772" s="23">
        <v>23.071809999999999</v>
      </c>
      <c r="S772" s="8">
        <v>8.8279999999999997E-2</v>
      </c>
      <c r="T772" s="9">
        <v>3.108E-2</v>
      </c>
      <c r="U772" s="24">
        <v>2.9600000000000001E-2</v>
      </c>
    </row>
    <row r="773" spans="1:21" ht="12" customHeight="1" x14ac:dyDescent="0.25">
      <c r="A773" s="5">
        <v>1880</v>
      </c>
      <c r="B773" s="19" t="s">
        <v>394</v>
      </c>
      <c r="C773" s="19" t="s">
        <v>12</v>
      </c>
      <c r="D773" s="5" t="s">
        <v>395</v>
      </c>
      <c r="E773" s="6">
        <v>367101.90315637999</v>
      </c>
      <c r="F773" s="6">
        <v>6548790.7576161996</v>
      </c>
      <c r="G773" s="7" t="str">
        <f>HYPERLINK("https://minkarta.lantmateriet.se/?e=367101,90315638&amp;n=6548790,7576162&amp;z=12&amp;profile=flygbildmedgranser&amp;background=2&amp;boundaries=true","Visa")</f>
        <v>Visa</v>
      </c>
      <c r="H773" s="5" t="s">
        <v>10</v>
      </c>
      <c r="I773" s="8">
        <v>40.506700000000002</v>
      </c>
      <c r="J773" s="9">
        <v>43.767789999999998</v>
      </c>
      <c r="K773" s="9">
        <v>45.336539999999999</v>
      </c>
      <c r="L773" s="14">
        <v>41.412669999999999</v>
      </c>
      <c r="M773" s="9">
        <v>44.224319999999999</v>
      </c>
      <c r="N773" s="9">
        <v>45.842039999999997</v>
      </c>
      <c r="O773" s="14">
        <v>41.525379999999998</v>
      </c>
      <c r="P773" s="9">
        <v>44.255400000000002</v>
      </c>
      <c r="Q773" s="9">
        <v>45.871639999999999</v>
      </c>
      <c r="R773" s="23">
        <v>28.159400000000002</v>
      </c>
      <c r="S773" s="8">
        <v>0.11271</v>
      </c>
      <c r="T773" s="9">
        <v>3.108E-2</v>
      </c>
      <c r="U773" s="24">
        <v>2.9600000000000001E-2</v>
      </c>
    </row>
    <row r="774" spans="1:21" ht="12" customHeight="1" x14ac:dyDescent="0.25">
      <c r="A774" s="5">
        <v>1881</v>
      </c>
      <c r="B774" s="19" t="s">
        <v>394</v>
      </c>
      <c r="C774" s="19" t="s">
        <v>12</v>
      </c>
      <c r="D774" s="5" t="s">
        <v>395</v>
      </c>
      <c r="E774" s="6">
        <v>367096.42565734999</v>
      </c>
      <c r="F774" s="6">
        <v>6548784.9481169004</v>
      </c>
      <c r="G774" s="7" t="str">
        <f>HYPERLINK("https://minkarta.lantmateriet.se/?e=367096,42565735&amp;n=6548784,9481169&amp;z=12&amp;profile=flygbildmedgranser&amp;background=2&amp;boundaries=true","Visa")</f>
        <v>Visa</v>
      </c>
      <c r="H774" s="5" t="s">
        <v>10</v>
      </c>
      <c r="I774" s="8">
        <v>40.792929999999998</v>
      </c>
      <c r="J774" s="9">
        <v>43.574069999999999</v>
      </c>
      <c r="K774" s="9">
        <v>45.14282</v>
      </c>
      <c r="L774" s="14">
        <v>41.700629999999997</v>
      </c>
      <c r="M774" s="9">
        <v>44.0306</v>
      </c>
      <c r="N774" s="9">
        <v>45.648319999999998</v>
      </c>
      <c r="O774" s="14">
        <v>41.796959999999999</v>
      </c>
      <c r="P774" s="9">
        <v>44.061680000000003</v>
      </c>
      <c r="Q774" s="9">
        <v>45.677930000000003</v>
      </c>
      <c r="R774" s="23">
        <v>26.020050000000001</v>
      </c>
      <c r="S774" s="8">
        <v>9.6329999999999999E-2</v>
      </c>
      <c r="T774" s="9">
        <v>3.108E-2</v>
      </c>
      <c r="U774" s="24">
        <v>2.9610000000000001E-2</v>
      </c>
    </row>
    <row r="775" spans="1:21" ht="12" customHeight="1" x14ac:dyDescent="0.25">
      <c r="A775" s="5">
        <v>1883</v>
      </c>
      <c r="B775" s="19" t="s">
        <v>396</v>
      </c>
      <c r="C775" s="19" t="s">
        <v>12</v>
      </c>
      <c r="D775" s="5" t="s">
        <v>397</v>
      </c>
      <c r="E775" s="6">
        <v>367068.22087525</v>
      </c>
      <c r="F775" s="6">
        <v>6548760.5216734</v>
      </c>
      <c r="G775" s="7" t="str">
        <f>HYPERLINK("https://minkarta.lantmateriet.se/?e=367068,22087525&amp;n=6548760,5216734&amp;z=12&amp;profile=flygbildmedgranser&amp;background=2&amp;boundaries=true","Visa")</f>
        <v>Visa</v>
      </c>
      <c r="H775" s="5" t="s">
        <v>11</v>
      </c>
      <c r="I775" s="8">
        <v>41.687530000000002</v>
      </c>
      <c r="J775" s="9">
        <v>48.425809999999998</v>
      </c>
      <c r="K775" s="9">
        <v>49.99456</v>
      </c>
      <c r="L775" s="14">
        <v>42.606720000000003</v>
      </c>
      <c r="M775" s="9">
        <v>48.882339999999999</v>
      </c>
      <c r="N775" s="9">
        <v>50.500059999999998</v>
      </c>
      <c r="O775" s="14">
        <v>42.773380000000003</v>
      </c>
      <c r="P775" s="9">
        <v>48.913420000000002</v>
      </c>
      <c r="Q775" s="9">
        <v>50.52966</v>
      </c>
      <c r="R775" s="23">
        <v>33.22495</v>
      </c>
      <c r="S775" s="8">
        <v>0.16666</v>
      </c>
      <c r="T775" s="9">
        <v>3.108E-2</v>
      </c>
      <c r="U775" s="24">
        <v>2.9600000000000001E-2</v>
      </c>
    </row>
    <row r="776" spans="1:21" ht="12" customHeight="1" x14ac:dyDescent="0.25">
      <c r="A776" s="5">
        <v>1884</v>
      </c>
      <c r="B776" s="19" t="s">
        <v>396</v>
      </c>
      <c r="C776" s="19" t="s">
        <v>12</v>
      </c>
      <c r="D776" s="5" t="s">
        <v>397</v>
      </c>
      <c r="E776" s="6">
        <v>367074.42332849</v>
      </c>
      <c r="F776" s="6">
        <v>6548760.3208755003</v>
      </c>
      <c r="G776" s="7" t="str">
        <f>HYPERLINK("https://minkarta.lantmateriet.se/?e=367074,42332849&amp;n=6548760,3208755&amp;z=12&amp;profile=flygbildmedgranser&amp;background=2&amp;boundaries=true","Visa")</f>
        <v>Visa</v>
      </c>
      <c r="H776" s="5" t="s">
        <v>8</v>
      </c>
      <c r="I776" s="8">
        <v>39.885710000000003</v>
      </c>
      <c r="J776" s="9">
        <v>42.54486</v>
      </c>
      <c r="K776" s="9">
        <v>44.113610000000001</v>
      </c>
      <c r="L776" s="14">
        <v>40.798349999999999</v>
      </c>
      <c r="M776" s="9">
        <v>43.001390000000001</v>
      </c>
      <c r="N776" s="9">
        <v>44.619109999999999</v>
      </c>
      <c r="O776" s="14">
        <v>41.30753</v>
      </c>
      <c r="P776" s="9">
        <v>43.822670000000002</v>
      </c>
      <c r="Q776" s="9">
        <v>44.648719999999997</v>
      </c>
      <c r="R776" s="23">
        <v>39.318469999999998</v>
      </c>
      <c r="S776" s="8">
        <v>0.50917999999999997</v>
      </c>
      <c r="T776" s="9">
        <v>0.82128000000000001</v>
      </c>
      <c r="U776" s="24">
        <v>2.9610000000000001E-2</v>
      </c>
    </row>
    <row r="777" spans="1:21" ht="12" customHeight="1" x14ac:dyDescent="0.25">
      <c r="A777" s="5">
        <v>1885</v>
      </c>
      <c r="B777" s="19" t="s">
        <v>396</v>
      </c>
      <c r="C777" s="19" t="s">
        <v>12</v>
      </c>
      <c r="D777" s="5" t="s">
        <v>397</v>
      </c>
      <c r="E777" s="6">
        <v>367082.29632892</v>
      </c>
      <c r="F777" s="6">
        <v>6548764.8723758003</v>
      </c>
      <c r="G777" s="7" t="str">
        <f>HYPERLINK("https://minkarta.lantmateriet.se/?e=367082,29632892&amp;n=6548764,8723758&amp;z=12&amp;profile=flygbildmedgranser&amp;background=2&amp;boundaries=true","Visa")</f>
        <v>Visa</v>
      </c>
      <c r="H777" s="5" t="s">
        <v>8</v>
      </c>
      <c r="I777" s="8">
        <v>39.293849999999999</v>
      </c>
      <c r="J777" s="9">
        <v>40.99709</v>
      </c>
      <c r="K777" s="9">
        <v>42.739539999999998</v>
      </c>
      <c r="L777" s="14">
        <v>40.204680000000003</v>
      </c>
      <c r="M777" s="9">
        <v>41.453620000000001</v>
      </c>
      <c r="N777" s="9">
        <v>43.488979999999998</v>
      </c>
      <c r="O777" s="14">
        <v>40.775829999999999</v>
      </c>
      <c r="P777" s="9">
        <v>42.807699999999997</v>
      </c>
      <c r="Q777" s="9">
        <v>43.649700000000003</v>
      </c>
      <c r="R777" s="23">
        <v>39.628239999999998</v>
      </c>
      <c r="S777" s="8">
        <v>0.57115000000000005</v>
      </c>
      <c r="T777" s="9">
        <v>1.35408</v>
      </c>
      <c r="U777" s="24">
        <v>0.16072</v>
      </c>
    </row>
    <row r="778" spans="1:21" ht="12" customHeight="1" x14ac:dyDescent="0.25">
      <c r="A778" s="5">
        <v>1886</v>
      </c>
      <c r="B778" s="19" t="s">
        <v>396</v>
      </c>
      <c r="C778" s="19" t="s">
        <v>12</v>
      </c>
      <c r="D778" s="5" t="s">
        <v>397</v>
      </c>
      <c r="E778" s="6">
        <v>367081.69012720999</v>
      </c>
      <c r="F778" s="6">
        <v>6548772.8348299004</v>
      </c>
      <c r="G778" s="7" t="str">
        <f>HYPERLINK("https://minkarta.lantmateriet.se/?e=367081,69012721&amp;n=6548772,8348299&amp;z=12&amp;profile=flygbildmedgranser&amp;background=2&amp;boundaries=true","Visa")</f>
        <v>Visa</v>
      </c>
      <c r="H778" s="5" t="s">
        <v>9</v>
      </c>
      <c r="I778" s="8">
        <v>39.469299999999997</v>
      </c>
      <c r="J778" s="9">
        <v>41.821539999999999</v>
      </c>
      <c r="K778" s="9">
        <v>43.39029</v>
      </c>
      <c r="L778" s="14">
        <v>40.37856</v>
      </c>
      <c r="M778" s="9">
        <v>42.27807</v>
      </c>
      <c r="N778" s="9">
        <v>43.895789999999998</v>
      </c>
      <c r="O778" s="14">
        <v>40.521329999999999</v>
      </c>
      <c r="P778" s="9">
        <v>42.309150000000002</v>
      </c>
      <c r="Q778" s="9">
        <v>43.92539</v>
      </c>
      <c r="R778" s="23">
        <v>30.36787</v>
      </c>
      <c r="S778" s="8">
        <v>0.14277000000000001</v>
      </c>
      <c r="T778" s="9">
        <v>3.108E-2</v>
      </c>
      <c r="U778" s="24">
        <v>2.9600000000000001E-2</v>
      </c>
    </row>
    <row r="779" spans="1:21" ht="12" customHeight="1" x14ac:dyDescent="0.25">
      <c r="A779" s="5">
        <v>1887</v>
      </c>
      <c r="B779" s="19" t="s">
        <v>396</v>
      </c>
      <c r="C779" s="19" t="s">
        <v>12</v>
      </c>
      <c r="D779" s="5" t="s">
        <v>397</v>
      </c>
      <c r="E779" s="6">
        <v>367074.33117348002</v>
      </c>
      <c r="F779" s="6">
        <v>6548775.9546285002</v>
      </c>
      <c r="G779" s="7" t="str">
        <f>HYPERLINK("https://minkarta.lantmateriet.se/?e=367074,33117348&amp;n=6548775,9546285&amp;z=12&amp;profile=flygbildmedgranser&amp;background=2&amp;boundaries=true","Visa")</f>
        <v>Visa</v>
      </c>
      <c r="H779" s="5" t="s">
        <v>10</v>
      </c>
      <c r="I779" s="8">
        <v>41.933320000000002</v>
      </c>
      <c r="J779" s="9">
        <v>45.204250000000002</v>
      </c>
      <c r="K779" s="9">
        <v>46.773000000000003</v>
      </c>
      <c r="L779" s="14">
        <v>42.843809999999998</v>
      </c>
      <c r="M779" s="9">
        <v>45.660780000000003</v>
      </c>
      <c r="N779" s="9">
        <v>47.278500000000001</v>
      </c>
      <c r="O779" s="14">
        <v>42.970759999999999</v>
      </c>
      <c r="P779" s="9">
        <v>45.691859999999998</v>
      </c>
      <c r="Q779" s="9">
        <v>47.308100000000003</v>
      </c>
      <c r="R779" s="23">
        <v>29.67296</v>
      </c>
      <c r="S779" s="8">
        <v>0.12695000000000001</v>
      </c>
      <c r="T779" s="9">
        <v>3.108E-2</v>
      </c>
      <c r="U779" s="24">
        <v>2.9600000000000001E-2</v>
      </c>
    </row>
    <row r="780" spans="1:21" ht="12" customHeight="1" x14ac:dyDescent="0.25">
      <c r="A780" s="5">
        <v>1888</v>
      </c>
      <c r="B780" s="19" t="s">
        <v>396</v>
      </c>
      <c r="C780" s="19" t="s">
        <v>12</v>
      </c>
      <c r="D780" s="5" t="s">
        <v>397</v>
      </c>
      <c r="E780" s="6">
        <v>367072.47037433001</v>
      </c>
      <c r="F780" s="6">
        <v>6548771.4076747</v>
      </c>
      <c r="G780" s="7" t="str">
        <f>HYPERLINK("https://minkarta.lantmateriet.se/?e=367072,47037433&amp;n=6548771,4076747&amp;z=12&amp;profile=flygbildmedgranser&amp;background=2&amp;boundaries=true","Visa")</f>
        <v>Visa</v>
      </c>
      <c r="H780" s="5" t="s">
        <v>11</v>
      </c>
      <c r="I780" s="8">
        <v>42.892119999999998</v>
      </c>
      <c r="J780" s="9">
        <v>47.691209999999998</v>
      </c>
      <c r="K780" s="9">
        <v>49.25996</v>
      </c>
      <c r="L780" s="14">
        <v>43.807699999999997</v>
      </c>
      <c r="M780" s="9">
        <v>48.147739999999999</v>
      </c>
      <c r="N780" s="9">
        <v>49.765459999999997</v>
      </c>
      <c r="O780" s="14">
        <v>43.95205</v>
      </c>
      <c r="P780" s="9">
        <v>48.178820000000002</v>
      </c>
      <c r="Q780" s="9">
        <v>49.795059999999999</v>
      </c>
      <c r="R780" s="23">
        <v>32.599699999999999</v>
      </c>
      <c r="S780" s="8">
        <v>0.14435000000000001</v>
      </c>
      <c r="T780" s="9">
        <v>3.108E-2</v>
      </c>
      <c r="U780" s="24">
        <v>2.9600000000000001E-2</v>
      </c>
    </row>
    <row r="781" spans="1:21" ht="12" customHeight="1" x14ac:dyDescent="0.25">
      <c r="A781" s="5">
        <v>1889</v>
      </c>
      <c r="B781" s="19" t="s">
        <v>396</v>
      </c>
      <c r="C781" s="19" t="s">
        <v>12</v>
      </c>
      <c r="D781" s="5" t="s">
        <v>397</v>
      </c>
      <c r="E781" s="6">
        <v>367070.00767202</v>
      </c>
      <c r="F781" s="6">
        <v>6548766.4526274996</v>
      </c>
      <c r="G781" s="7" t="str">
        <f>HYPERLINK("https://minkarta.lantmateriet.se/?e=367070,00767202&amp;n=6548766,4526275&amp;z=12&amp;profile=flygbildmedgranser&amp;background=2&amp;boundaries=true","Visa")</f>
        <v>Visa</v>
      </c>
      <c r="H781" s="5" t="s">
        <v>10</v>
      </c>
      <c r="I781" s="8">
        <v>42.752429999999997</v>
      </c>
      <c r="J781" s="9">
        <v>46.779029999999999</v>
      </c>
      <c r="K781" s="9">
        <v>48.34778</v>
      </c>
      <c r="L781" s="14">
        <v>43.655700000000003</v>
      </c>
      <c r="M781" s="9">
        <v>47.23556</v>
      </c>
      <c r="N781" s="9">
        <v>48.853279999999998</v>
      </c>
      <c r="O781" s="14">
        <v>43.774239999999999</v>
      </c>
      <c r="P781" s="9">
        <v>47.266640000000002</v>
      </c>
      <c r="Q781" s="9">
        <v>48.88288</v>
      </c>
      <c r="R781" s="23">
        <v>29.27074</v>
      </c>
      <c r="S781" s="8">
        <v>0.11854000000000001</v>
      </c>
      <c r="T781" s="9">
        <v>3.108E-2</v>
      </c>
      <c r="U781" s="24">
        <v>2.9600000000000001E-2</v>
      </c>
    </row>
    <row r="782" spans="1:21" ht="12" customHeight="1" x14ac:dyDescent="0.25">
      <c r="A782" s="5">
        <v>1890</v>
      </c>
      <c r="B782" s="19" t="s">
        <v>398</v>
      </c>
      <c r="C782" s="19" t="s">
        <v>12</v>
      </c>
      <c r="D782" s="5" t="s">
        <v>399</v>
      </c>
      <c r="E782" s="6">
        <v>367045.63134143001</v>
      </c>
      <c r="F782" s="6">
        <v>6548743.6877209004</v>
      </c>
      <c r="G782" s="7" t="str">
        <f>HYPERLINK("https://minkarta.lantmateriet.se/?e=367045,63134143&amp;n=6548743,6877209&amp;z=12&amp;profile=flygbildmedgranser&amp;background=2&amp;boundaries=true","Visa")</f>
        <v>Visa</v>
      </c>
      <c r="H782" s="5" t="s">
        <v>11</v>
      </c>
      <c r="I782" s="8">
        <v>43.265790000000003</v>
      </c>
      <c r="J782" s="9">
        <v>49.222110000000001</v>
      </c>
      <c r="K782" s="9">
        <v>50.790860000000002</v>
      </c>
      <c r="L782" s="14">
        <v>44.171250000000001</v>
      </c>
      <c r="M782" s="9">
        <v>49.678640000000001</v>
      </c>
      <c r="N782" s="9">
        <v>51.29636</v>
      </c>
      <c r="O782" s="14">
        <v>44.365720000000003</v>
      </c>
      <c r="P782" s="9">
        <v>49.709719999999997</v>
      </c>
      <c r="Q782" s="9">
        <v>51.325969999999998</v>
      </c>
      <c r="R782" s="23">
        <v>33.845770000000002</v>
      </c>
      <c r="S782" s="8">
        <v>0.19447</v>
      </c>
      <c r="T782" s="9">
        <v>3.108E-2</v>
      </c>
      <c r="U782" s="24">
        <v>2.9610000000000001E-2</v>
      </c>
    </row>
    <row r="783" spans="1:21" ht="12" customHeight="1" x14ac:dyDescent="0.25">
      <c r="A783" s="5">
        <v>1891</v>
      </c>
      <c r="B783" s="19" t="s">
        <v>398</v>
      </c>
      <c r="C783" s="19" t="s">
        <v>12</v>
      </c>
      <c r="D783" s="5" t="s">
        <v>399</v>
      </c>
      <c r="E783" s="6">
        <v>367053.51581869001</v>
      </c>
      <c r="F783" s="6">
        <v>6548744.1353684999</v>
      </c>
      <c r="G783" s="7" t="str">
        <f>HYPERLINK("https://minkarta.lantmateriet.se/?e=367053,51581869&amp;n=6548744,1353685&amp;z=12&amp;profile=flygbildmedgranser&amp;background=2&amp;boundaries=true","Visa")</f>
        <v>Visa</v>
      </c>
      <c r="H783" s="5" t="s">
        <v>8</v>
      </c>
      <c r="I783" s="8">
        <v>40.603270000000002</v>
      </c>
      <c r="J783" s="9">
        <v>41.533110000000001</v>
      </c>
      <c r="K783" s="9">
        <v>43.742559999999997</v>
      </c>
      <c r="L783" s="14">
        <v>41.514600000000002</v>
      </c>
      <c r="M783" s="9">
        <v>42.153350000000003</v>
      </c>
      <c r="N783" s="9">
        <v>44.491990000000001</v>
      </c>
      <c r="O783" s="14">
        <v>42.08043</v>
      </c>
      <c r="P783" s="9">
        <v>44.770519999999998</v>
      </c>
      <c r="Q783" s="9">
        <v>44.770519999999998</v>
      </c>
      <c r="R783" s="23">
        <v>39.445749999999997</v>
      </c>
      <c r="S783" s="8">
        <v>0.56583000000000006</v>
      </c>
      <c r="T783" s="9">
        <v>2.6171700000000002</v>
      </c>
      <c r="U783" s="24">
        <v>0.27853</v>
      </c>
    </row>
    <row r="784" spans="1:21" ht="12" customHeight="1" x14ac:dyDescent="0.25">
      <c r="A784" s="5">
        <v>1893</v>
      </c>
      <c r="B784" s="19" t="s">
        <v>398</v>
      </c>
      <c r="C784" s="19" t="s">
        <v>12</v>
      </c>
      <c r="D784" s="5" t="s">
        <v>399</v>
      </c>
      <c r="E784" s="6">
        <v>367048.62365780998</v>
      </c>
      <c r="F784" s="6">
        <v>6548751.0456172004</v>
      </c>
      <c r="G784" s="7" t="str">
        <f>HYPERLINK("https://minkarta.lantmateriet.se/?e=367048,62365781&amp;n=6548751,0456172&amp;z=12&amp;profile=flygbildmedgranser&amp;background=2&amp;boundaries=true","Visa")</f>
        <v>Visa</v>
      </c>
      <c r="H784" s="5" t="s">
        <v>10</v>
      </c>
      <c r="I784" s="8">
        <v>42.505040000000001</v>
      </c>
      <c r="J784" s="9">
        <v>48.367809999999999</v>
      </c>
      <c r="K784" s="9">
        <v>49.93656</v>
      </c>
      <c r="L784" s="14">
        <v>43.42362</v>
      </c>
      <c r="M784" s="9">
        <v>48.824339999999999</v>
      </c>
      <c r="N784" s="9">
        <v>50.442059999999998</v>
      </c>
      <c r="O784" s="14">
        <v>43.537570000000002</v>
      </c>
      <c r="P784" s="9">
        <v>48.855420000000002</v>
      </c>
      <c r="Q784" s="9">
        <v>50.47166</v>
      </c>
      <c r="R784" s="23">
        <v>29.50808</v>
      </c>
      <c r="S784" s="8">
        <v>0.11395</v>
      </c>
      <c r="T784" s="9">
        <v>3.108E-2</v>
      </c>
      <c r="U784" s="24">
        <v>2.9600000000000001E-2</v>
      </c>
    </row>
    <row r="785" spans="1:21" ht="12" customHeight="1" x14ac:dyDescent="0.25">
      <c r="A785" s="5">
        <v>1894</v>
      </c>
      <c r="B785" s="19" t="s">
        <v>400</v>
      </c>
      <c r="C785" s="19" t="s">
        <v>12</v>
      </c>
      <c r="D785" s="5" t="s">
        <v>401</v>
      </c>
      <c r="E785" s="6">
        <v>367032.90833290003</v>
      </c>
      <c r="F785" s="6">
        <v>6548729.1728785997</v>
      </c>
      <c r="G785" s="7" t="str">
        <f>HYPERLINK("https://minkarta.lantmateriet.se/?e=367032,9083329&amp;n=6548729,1728786&amp;z=12&amp;profile=flygbildmedgranser&amp;background=2&amp;boundaries=true","Visa")</f>
        <v>Visa</v>
      </c>
      <c r="H785" s="5" t="s">
        <v>8</v>
      </c>
      <c r="I785" s="8">
        <v>40.160240000000002</v>
      </c>
      <c r="J785" s="9">
        <v>44.028680000000001</v>
      </c>
      <c r="K785" s="9">
        <v>45.482640000000004</v>
      </c>
      <c r="L785" s="14">
        <v>41.098190000000002</v>
      </c>
      <c r="M785" s="9">
        <v>44.528170000000003</v>
      </c>
      <c r="N785" s="9">
        <v>47.998829999999998</v>
      </c>
      <c r="O785" s="14">
        <v>41.860080000000004</v>
      </c>
      <c r="P785" s="9">
        <v>45.539029999999997</v>
      </c>
      <c r="Q785" s="9">
        <v>48.367570000000001</v>
      </c>
      <c r="R785" s="23">
        <v>40.504910000000002</v>
      </c>
      <c r="S785" s="8">
        <v>0.76188999999999996</v>
      </c>
      <c r="T785" s="9">
        <v>1.0108600000000001</v>
      </c>
      <c r="U785" s="24">
        <v>0.36874000000000001</v>
      </c>
    </row>
    <row r="786" spans="1:21" ht="12" customHeight="1" x14ac:dyDescent="0.25">
      <c r="A786" s="5">
        <v>1895</v>
      </c>
      <c r="B786" s="19" t="s">
        <v>400</v>
      </c>
      <c r="C786" s="19" t="s">
        <v>12</v>
      </c>
      <c r="D786" s="5" t="s">
        <v>401</v>
      </c>
      <c r="E786" s="6">
        <v>367036.31412428</v>
      </c>
      <c r="F786" s="6">
        <v>6548738.2708339998</v>
      </c>
      <c r="G786" s="7" t="str">
        <f>HYPERLINK("https://minkarta.lantmateriet.se/?e=367036,31412428&amp;n=6548738,270834&amp;z=12&amp;profile=flygbildmedgranser&amp;background=2&amp;boundaries=true","Visa")</f>
        <v>Visa</v>
      </c>
      <c r="H786" s="5" t="s">
        <v>9</v>
      </c>
      <c r="I786" s="8">
        <v>39.872799999999998</v>
      </c>
      <c r="J786" s="9">
        <v>44.510730000000002</v>
      </c>
      <c r="K786" s="9">
        <v>46.079479999999997</v>
      </c>
      <c r="L786" s="14">
        <v>40.79148</v>
      </c>
      <c r="M786" s="9">
        <v>44.96725</v>
      </c>
      <c r="N786" s="9">
        <v>46.584980000000002</v>
      </c>
      <c r="O786" s="14">
        <v>41.011470000000003</v>
      </c>
      <c r="P786" s="9">
        <v>44.998339999999999</v>
      </c>
      <c r="Q786" s="9">
        <v>46.614579999999997</v>
      </c>
      <c r="R786" s="23">
        <v>36.761789999999998</v>
      </c>
      <c r="S786" s="8">
        <v>0.21998999999999999</v>
      </c>
      <c r="T786" s="9">
        <v>3.109E-2</v>
      </c>
      <c r="U786" s="24">
        <v>2.9600000000000001E-2</v>
      </c>
    </row>
    <row r="787" spans="1:21" ht="12" customHeight="1" x14ac:dyDescent="0.25">
      <c r="A787" s="5">
        <v>1896</v>
      </c>
      <c r="B787" s="19" t="s">
        <v>400</v>
      </c>
      <c r="C787" s="19" t="s">
        <v>12</v>
      </c>
      <c r="D787" s="5" t="s">
        <v>401</v>
      </c>
      <c r="E787" s="6">
        <v>367030.68466779002</v>
      </c>
      <c r="F787" s="6">
        <v>6548740.8816243997</v>
      </c>
      <c r="G787" s="7" t="str">
        <f>HYPERLINK("https://minkarta.lantmateriet.se/?e=367030,68466779&amp;n=6548740,8816244&amp;z=12&amp;profile=flygbildmedgranser&amp;background=2&amp;boundaries=true","Visa")</f>
        <v>Visa</v>
      </c>
      <c r="H787" s="5" t="s">
        <v>10</v>
      </c>
      <c r="I787" s="8">
        <v>42.902149999999999</v>
      </c>
      <c r="J787" s="9">
        <v>47.345619999999997</v>
      </c>
      <c r="K787" s="9">
        <v>48.914360000000002</v>
      </c>
      <c r="L787" s="14">
        <v>43.8127</v>
      </c>
      <c r="M787" s="9">
        <v>47.802140000000001</v>
      </c>
      <c r="N787" s="9">
        <v>49.41986</v>
      </c>
      <c r="O787" s="14">
        <v>43.955489999999998</v>
      </c>
      <c r="P787" s="9">
        <v>47.83323</v>
      </c>
      <c r="Q787" s="9">
        <v>49.449469999999998</v>
      </c>
      <c r="R787" s="23">
        <v>30.165189999999999</v>
      </c>
      <c r="S787" s="8">
        <v>0.14279</v>
      </c>
      <c r="T787" s="9">
        <v>3.109E-2</v>
      </c>
      <c r="U787" s="24">
        <v>2.9610000000000001E-2</v>
      </c>
    </row>
    <row r="788" spans="1:21" ht="12" customHeight="1" x14ac:dyDescent="0.25">
      <c r="A788" s="5">
        <v>1897</v>
      </c>
      <c r="B788" s="19" t="s">
        <v>400</v>
      </c>
      <c r="C788" s="19" t="s">
        <v>12</v>
      </c>
      <c r="D788" s="5" t="s">
        <v>401</v>
      </c>
      <c r="E788" s="6">
        <v>367029.09087647003</v>
      </c>
      <c r="F788" s="6">
        <v>6548737.8706716998</v>
      </c>
      <c r="G788" s="7" t="str">
        <f>HYPERLINK("https://minkarta.lantmateriet.se/?e=367029,09087647&amp;n=6548737,8706717&amp;z=12&amp;profile=flygbildmedgranser&amp;background=2&amp;boundaries=true","Visa")</f>
        <v>Visa</v>
      </c>
      <c r="H788" s="5" t="s">
        <v>11</v>
      </c>
      <c r="I788" s="8">
        <v>44.203400000000002</v>
      </c>
      <c r="J788" s="9">
        <v>48.620550000000001</v>
      </c>
      <c r="K788" s="9">
        <v>50.189300000000003</v>
      </c>
      <c r="L788" s="14">
        <v>45.120080000000002</v>
      </c>
      <c r="M788" s="9">
        <v>49.077080000000002</v>
      </c>
      <c r="N788" s="9">
        <v>50.694800000000001</v>
      </c>
      <c r="O788" s="14">
        <v>45.266539999999999</v>
      </c>
      <c r="P788" s="9">
        <v>49.108159999999998</v>
      </c>
      <c r="Q788" s="9">
        <v>50.724400000000003</v>
      </c>
      <c r="R788" s="23">
        <v>31.393550000000001</v>
      </c>
      <c r="S788" s="8">
        <v>0.14646000000000001</v>
      </c>
      <c r="T788" s="9">
        <v>3.108E-2</v>
      </c>
      <c r="U788" s="24">
        <v>2.9600000000000001E-2</v>
      </c>
    </row>
    <row r="789" spans="1:21" ht="12" customHeight="1" x14ac:dyDescent="0.25">
      <c r="A789" s="5">
        <v>1898</v>
      </c>
      <c r="B789" s="19" t="s">
        <v>400</v>
      </c>
      <c r="C789" s="19" t="s">
        <v>12</v>
      </c>
      <c r="D789" s="5" t="s">
        <v>401</v>
      </c>
      <c r="E789" s="6">
        <v>367025.89216828998</v>
      </c>
      <c r="F789" s="6">
        <v>6548733.7321247999</v>
      </c>
      <c r="G789" s="7" t="str">
        <f>HYPERLINK("https://minkarta.lantmateriet.se/?e=367025,89216829&amp;n=6548733,7321248&amp;z=12&amp;profile=flygbildmedgranser&amp;background=2&amp;boundaries=true","Visa")</f>
        <v>Visa</v>
      </c>
      <c r="H789" s="5" t="s">
        <v>10</v>
      </c>
      <c r="I789" s="8">
        <v>42.666179999999997</v>
      </c>
      <c r="J789" s="9">
        <v>46.443399999999997</v>
      </c>
      <c r="K789" s="9">
        <v>48.012149999999998</v>
      </c>
      <c r="L789" s="14">
        <v>43.576970000000003</v>
      </c>
      <c r="M789" s="9">
        <v>46.899929999999998</v>
      </c>
      <c r="N789" s="9">
        <v>48.517650000000003</v>
      </c>
      <c r="O789" s="14">
        <v>43.684750000000001</v>
      </c>
      <c r="P789" s="9">
        <v>46.931010000000001</v>
      </c>
      <c r="Q789" s="9">
        <v>48.547249999999998</v>
      </c>
      <c r="R789" s="23">
        <v>28.89902</v>
      </c>
      <c r="S789" s="8">
        <v>0.10778</v>
      </c>
      <c r="T789" s="9">
        <v>3.108E-2</v>
      </c>
      <c r="U789" s="24">
        <v>2.9600000000000001E-2</v>
      </c>
    </row>
    <row r="790" spans="1:21" ht="12" customHeight="1" x14ac:dyDescent="0.25">
      <c r="A790" s="5">
        <v>1899</v>
      </c>
      <c r="B790" s="19" t="s">
        <v>400</v>
      </c>
      <c r="C790" s="19" t="s">
        <v>12</v>
      </c>
      <c r="D790" s="5" t="s">
        <v>401</v>
      </c>
      <c r="E790" s="6">
        <v>367024.07787742</v>
      </c>
      <c r="F790" s="6">
        <v>6548727.6311704004</v>
      </c>
      <c r="G790" s="7" t="str">
        <f>HYPERLINK("https://minkarta.lantmateriet.se/?e=367024,07787742&amp;n=6548727,6311704&amp;z=12&amp;profile=flygbildmedgranser&amp;background=2&amp;boundaries=true","Visa")</f>
        <v>Visa</v>
      </c>
      <c r="H790" s="5" t="s">
        <v>11</v>
      </c>
      <c r="I790" s="8">
        <v>42.43965</v>
      </c>
      <c r="J790" s="9">
        <v>45.006880000000002</v>
      </c>
      <c r="K790" s="9">
        <v>46.460850000000001</v>
      </c>
      <c r="L790" s="14">
        <v>43.365989999999996</v>
      </c>
      <c r="M790" s="9">
        <v>45.50638</v>
      </c>
      <c r="N790" s="9">
        <v>48.977040000000002</v>
      </c>
      <c r="O790" s="14">
        <v>43.642910000000001</v>
      </c>
      <c r="P790" s="9">
        <v>46.489269999999998</v>
      </c>
      <c r="Q790" s="9">
        <v>49.343850000000003</v>
      </c>
      <c r="R790" s="23">
        <v>39.283349999999999</v>
      </c>
      <c r="S790" s="8">
        <v>0.27692</v>
      </c>
      <c r="T790" s="9">
        <v>0.98289000000000004</v>
      </c>
      <c r="U790" s="24">
        <v>0.36681000000000002</v>
      </c>
    </row>
    <row r="791" spans="1:21" ht="12" customHeight="1" x14ac:dyDescent="0.25">
      <c r="A791" s="5">
        <v>1900</v>
      </c>
      <c r="B791" s="19" t="s">
        <v>402</v>
      </c>
      <c r="C791" s="19" t="s">
        <v>12</v>
      </c>
      <c r="D791" s="5" t="s">
        <v>403</v>
      </c>
      <c r="E791" s="6">
        <v>367001.29735923</v>
      </c>
      <c r="F791" s="6">
        <v>6548712.1951957997</v>
      </c>
      <c r="G791" s="7" t="str">
        <f>HYPERLINK("https://minkarta.lantmateriet.se/?e=367001,29735923&amp;n=6548712,1951958&amp;z=12&amp;profile=flygbildmedgranser&amp;background=2&amp;boundaries=true","Visa")</f>
        <v>Visa</v>
      </c>
      <c r="H791" s="5" t="s">
        <v>11</v>
      </c>
      <c r="I791" s="8">
        <v>43.276519999999998</v>
      </c>
      <c r="J791" s="9">
        <v>47.634680000000003</v>
      </c>
      <c r="K791" s="9">
        <v>49.088650000000001</v>
      </c>
      <c r="L791" s="14">
        <v>44.193669999999997</v>
      </c>
      <c r="M791" s="9">
        <v>48.134180000000001</v>
      </c>
      <c r="N791" s="9">
        <v>51.604840000000003</v>
      </c>
      <c r="O791" s="14">
        <v>44.818829999999998</v>
      </c>
      <c r="P791" s="9">
        <v>49.119</v>
      </c>
      <c r="Q791" s="9">
        <v>51.973570000000002</v>
      </c>
      <c r="R791" s="23">
        <v>39.658380000000001</v>
      </c>
      <c r="S791" s="8">
        <v>0.62516000000000005</v>
      </c>
      <c r="T791" s="9">
        <v>0.98482000000000003</v>
      </c>
      <c r="U791" s="24">
        <v>0.36873</v>
      </c>
    </row>
    <row r="792" spans="1:21" ht="12" customHeight="1" x14ac:dyDescent="0.25">
      <c r="A792" s="5">
        <v>1901</v>
      </c>
      <c r="B792" s="19" t="s">
        <v>402</v>
      </c>
      <c r="C792" s="19" t="s">
        <v>12</v>
      </c>
      <c r="D792" s="5" t="s">
        <v>403</v>
      </c>
      <c r="E792" s="6">
        <v>367009.50780735997</v>
      </c>
      <c r="F792" s="6">
        <v>6548712.3298604004</v>
      </c>
      <c r="G792" s="7" t="str">
        <f>HYPERLINK("https://minkarta.lantmateriet.se/?e=367009,50780736&amp;n=6548712,3298604&amp;z=12&amp;profile=flygbildmedgranser&amp;background=2&amp;boundaries=true","Visa")</f>
        <v>Visa</v>
      </c>
      <c r="H792" s="5" t="s">
        <v>8</v>
      </c>
      <c r="I792" s="8">
        <v>41.018090000000001</v>
      </c>
      <c r="J792" s="9">
        <v>47.020200000000003</v>
      </c>
      <c r="K792" s="9">
        <v>48.474159999999998</v>
      </c>
      <c r="L792" s="14">
        <v>41.954740000000001</v>
      </c>
      <c r="M792" s="9">
        <v>47.519689999999997</v>
      </c>
      <c r="N792" s="9">
        <v>50.990349999999999</v>
      </c>
      <c r="O792" s="14">
        <v>42.77272</v>
      </c>
      <c r="P792" s="9">
        <v>48.504510000000003</v>
      </c>
      <c r="Q792" s="9">
        <v>51.359090000000002</v>
      </c>
      <c r="R792" s="23">
        <v>40.363590000000002</v>
      </c>
      <c r="S792" s="8">
        <v>0.81798000000000004</v>
      </c>
      <c r="T792" s="9">
        <v>0.98482000000000003</v>
      </c>
      <c r="U792" s="24">
        <v>0.36874000000000001</v>
      </c>
    </row>
    <row r="793" spans="1:21" ht="12" customHeight="1" x14ac:dyDescent="0.25">
      <c r="A793" s="5">
        <v>1902</v>
      </c>
      <c r="B793" s="19" t="s">
        <v>402</v>
      </c>
      <c r="C793" s="19" t="s">
        <v>12</v>
      </c>
      <c r="D793" s="5" t="s">
        <v>403</v>
      </c>
      <c r="E793" s="6">
        <v>367012.31064377999</v>
      </c>
      <c r="F793" s="6">
        <v>6548720.0488067996</v>
      </c>
      <c r="G793" s="7" t="str">
        <f>HYPERLINK("https://minkarta.lantmateriet.se/?e=367012,31064378&amp;n=6548720,0488068&amp;z=12&amp;profile=flygbildmedgranser&amp;background=2&amp;boundaries=true","Visa")</f>
        <v>Visa</v>
      </c>
      <c r="H793" s="5" t="s">
        <v>9</v>
      </c>
      <c r="I793" s="8">
        <v>39.025019999999998</v>
      </c>
      <c r="J793" s="9">
        <v>44.98809</v>
      </c>
      <c r="K793" s="9">
        <v>46.556840000000001</v>
      </c>
      <c r="L793" s="14">
        <v>39.938639999999999</v>
      </c>
      <c r="M793" s="9">
        <v>45.44462</v>
      </c>
      <c r="N793" s="9">
        <v>47.062339999999999</v>
      </c>
      <c r="O793" s="14">
        <v>40.363700000000001</v>
      </c>
      <c r="P793" s="9">
        <v>45.475700000000003</v>
      </c>
      <c r="Q793" s="9">
        <v>47.091940000000001</v>
      </c>
      <c r="R793" s="23">
        <v>35.35924</v>
      </c>
      <c r="S793" s="8">
        <v>0.42505999999999999</v>
      </c>
      <c r="T793" s="9">
        <v>3.108E-2</v>
      </c>
      <c r="U793" s="24">
        <v>2.9600000000000001E-2</v>
      </c>
    </row>
    <row r="794" spans="1:21" ht="12" customHeight="1" x14ac:dyDescent="0.25">
      <c r="A794" s="5">
        <v>1903</v>
      </c>
      <c r="B794" s="19" t="s">
        <v>402</v>
      </c>
      <c r="C794" s="19" t="s">
        <v>12</v>
      </c>
      <c r="D794" s="5" t="s">
        <v>403</v>
      </c>
      <c r="E794" s="6">
        <v>367004.10019534</v>
      </c>
      <c r="F794" s="6">
        <v>6548719.9141440997</v>
      </c>
      <c r="G794" s="7" t="str">
        <f>HYPERLINK("https://minkarta.lantmateriet.se/?e=367004,10019534&amp;n=6548719,9141441&amp;z=12&amp;profile=flygbildmedgranser&amp;background=2&amp;boundaries=true","Visa")</f>
        <v>Visa</v>
      </c>
      <c r="H794" s="5" t="s">
        <v>10</v>
      </c>
      <c r="I794" s="8">
        <v>41.822470000000003</v>
      </c>
      <c r="J794" s="9">
        <v>43.843240000000002</v>
      </c>
      <c r="K794" s="9">
        <v>45.41198</v>
      </c>
      <c r="L794" s="14">
        <v>42.731520000000003</v>
      </c>
      <c r="M794" s="9">
        <v>44.299759999999999</v>
      </c>
      <c r="N794" s="9">
        <v>45.917479999999998</v>
      </c>
      <c r="O794" s="14">
        <v>42.899909999999998</v>
      </c>
      <c r="P794" s="9">
        <v>44.330840000000002</v>
      </c>
      <c r="Q794" s="9">
        <v>45.947090000000003</v>
      </c>
      <c r="R794" s="23">
        <v>30.189150000000001</v>
      </c>
      <c r="S794" s="8">
        <v>0.16839000000000001</v>
      </c>
      <c r="T794" s="9">
        <v>3.108E-2</v>
      </c>
      <c r="U794" s="24">
        <v>2.9610000000000001E-2</v>
      </c>
    </row>
    <row r="795" spans="1:21" ht="12" customHeight="1" x14ac:dyDescent="0.25">
      <c r="A795" s="5">
        <v>2137</v>
      </c>
      <c r="B795" s="19" t="s">
        <v>404</v>
      </c>
      <c r="C795" s="19" t="s">
        <v>12</v>
      </c>
      <c r="D795" s="5" t="s">
        <v>405</v>
      </c>
      <c r="E795" s="6">
        <v>367262.20011749002</v>
      </c>
      <c r="F795" s="6">
        <v>6548403.8279269999</v>
      </c>
      <c r="G795" s="7" t="str">
        <f>HYPERLINK("https://minkarta.lantmateriet.se/?e=367262,20011749&amp;n=6548403,827927&amp;z=12&amp;profile=flygbildmedgranser&amp;background=2&amp;boundaries=true","Visa")</f>
        <v>Visa</v>
      </c>
      <c r="H795" s="5" t="s">
        <v>8</v>
      </c>
      <c r="I795" s="8">
        <v>44.892479999999999</v>
      </c>
      <c r="J795" s="9">
        <v>60.150680000000001</v>
      </c>
      <c r="K795" s="9">
        <v>61.604640000000003</v>
      </c>
      <c r="L795" s="14">
        <v>45.847450000000002</v>
      </c>
      <c r="M795" s="9">
        <v>60.650179999999999</v>
      </c>
      <c r="N795" s="9">
        <v>64.120829999999998</v>
      </c>
      <c r="O795" s="14">
        <v>46.721989999999998</v>
      </c>
      <c r="P795" s="9">
        <v>61.634990000000002</v>
      </c>
      <c r="Q795" s="9">
        <v>64.489570000000001</v>
      </c>
      <c r="R795" s="23">
        <v>22.709579999999999</v>
      </c>
      <c r="S795" s="8">
        <v>0.87453999999999998</v>
      </c>
      <c r="T795" s="9">
        <v>0.98480999999999996</v>
      </c>
      <c r="U795" s="24">
        <v>0.36874000000000001</v>
      </c>
    </row>
    <row r="796" spans="1:21" ht="12" customHeight="1" x14ac:dyDescent="0.25">
      <c r="A796" s="5">
        <v>2138</v>
      </c>
      <c r="B796" s="19" t="s">
        <v>404</v>
      </c>
      <c r="C796" s="19" t="s">
        <v>12</v>
      </c>
      <c r="D796" s="5" t="s">
        <v>405</v>
      </c>
      <c r="E796" s="6">
        <v>367264.12791583</v>
      </c>
      <c r="F796" s="6">
        <v>6548403.9878914999</v>
      </c>
      <c r="G796" s="7" t="str">
        <f>HYPERLINK("https://minkarta.lantmateriet.se/?e=367264,12791583&amp;n=6548403,9878915&amp;z=12&amp;profile=flygbildmedgranser&amp;background=2&amp;boundaries=true","Visa")</f>
        <v>Visa</v>
      </c>
      <c r="H796" s="5" t="s">
        <v>11</v>
      </c>
      <c r="I796" s="8">
        <v>43.477550000000001</v>
      </c>
      <c r="J796" s="9">
        <v>57.661119999999997</v>
      </c>
      <c r="K796" s="9">
        <v>59.115090000000002</v>
      </c>
      <c r="L796" s="14">
        <v>44.439169999999997</v>
      </c>
      <c r="M796" s="9">
        <v>58.160620000000002</v>
      </c>
      <c r="N796" s="9">
        <v>61.631279999999997</v>
      </c>
      <c r="O796" s="14">
        <v>45.256720000000001</v>
      </c>
      <c r="P796" s="9">
        <v>59.145440000000001</v>
      </c>
      <c r="Q796" s="9">
        <v>62.000010000000003</v>
      </c>
      <c r="R796" s="23">
        <v>24.919229999999999</v>
      </c>
      <c r="S796" s="8">
        <v>0.81755</v>
      </c>
      <c r="T796" s="9">
        <v>0.98482000000000003</v>
      </c>
      <c r="U796" s="24">
        <v>0.36873</v>
      </c>
    </row>
    <row r="797" spans="1:21" ht="12" customHeight="1" x14ac:dyDescent="0.25">
      <c r="A797" s="5">
        <v>2139</v>
      </c>
      <c r="B797" s="19" t="s">
        <v>404</v>
      </c>
      <c r="C797" s="19" t="s">
        <v>12</v>
      </c>
      <c r="D797" s="5" t="s">
        <v>405</v>
      </c>
      <c r="E797" s="6">
        <v>367267.69561315997</v>
      </c>
      <c r="F797" s="6">
        <v>6548406.8854195997</v>
      </c>
      <c r="G797" s="7" t="str">
        <f>HYPERLINK("https://minkarta.lantmateriet.se/?e=367267,69561316&amp;n=6548406,8854196&amp;z=12&amp;profile=flygbildmedgranser&amp;background=2&amp;boundaries=true","Visa")</f>
        <v>Visa</v>
      </c>
      <c r="H797" s="5" t="s">
        <v>8</v>
      </c>
      <c r="I797" s="8">
        <v>42.150129999999997</v>
      </c>
      <c r="J797" s="9">
        <v>57.25123</v>
      </c>
      <c r="K797" s="9">
        <v>58.705190000000002</v>
      </c>
      <c r="L797" s="14">
        <v>43.105359999999997</v>
      </c>
      <c r="M797" s="9">
        <v>57.750720000000001</v>
      </c>
      <c r="N797" s="9">
        <v>61.221380000000003</v>
      </c>
      <c r="O797" s="14">
        <v>43.890979999999999</v>
      </c>
      <c r="P797" s="9">
        <v>58.73554</v>
      </c>
      <c r="Q797" s="9">
        <v>61.590119999999999</v>
      </c>
      <c r="R797" s="23">
        <v>21.53435</v>
      </c>
      <c r="S797" s="8">
        <v>0.78561999999999999</v>
      </c>
      <c r="T797" s="9">
        <v>0.98482000000000003</v>
      </c>
      <c r="U797" s="24">
        <v>0.36874000000000001</v>
      </c>
    </row>
    <row r="798" spans="1:21" ht="12" customHeight="1" x14ac:dyDescent="0.25">
      <c r="A798" s="5">
        <v>2140</v>
      </c>
      <c r="B798" s="19" t="s">
        <v>404</v>
      </c>
      <c r="C798" s="19" t="s">
        <v>12</v>
      </c>
      <c r="D798" s="5" t="s">
        <v>405</v>
      </c>
      <c r="E798" s="6">
        <v>367265.74008507002</v>
      </c>
      <c r="F798" s="6">
        <v>6548413.0441132002</v>
      </c>
      <c r="G798" s="7" t="str">
        <f>HYPERLINK("https://minkarta.lantmateriet.se/?e=367265,74008507&amp;n=6548413,0441132&amp;z=12&amp;profile=flygbildmedgranser&amp;background=2&amp;boundaries=true","Visa")</f>
        <v>Visa</v>
      </c>
      <c r="H798" s="5" t="s">
        <v>9</v>
      </c>
      <c r="I798" s="8">
        <v>36.981990000000003</v>
      </c>
      <c r="J798" s="9">
        <v>44.75123</v>
      </c>
      <c r="K798" s="9">
        <v>46.205199999999998</v>
      </c>
      <c r="L798" s="14">
        <v>37.929110000000001</v>
      </c>
      <c r="M798" s="9">
        <v>45.250729999999997</v>
      </c>
      <c r="N798" s="9">
        <v>48.72139</v>
      </c>
      <c r="O798" s="14">
        <v>38.189430000000002</v>
      </c>
      <c r="P798" s="9">
        <v>46.235550000000003</v>
      </c>
      <c r="Q798" s="9">
        <v>49.090119999999999</v>
      </c>
      <c r="R798" s="23">
        <v>25.205020000000001</v>
      </c>
      <c r="S798" s="8">
        <v>0.26032</v>
      </c>
      <c r="T798" s="9">
        <v>0.98482000000000003</v>
      </c>
      <c r="U798" s="24">
        <v>0.36873</v>
      </c>
    </row>
    <row r="799" spans="1:21" ht="12" customHeight="1" x14ac:dyDescent="0.25">
      <c r="A799" s="5">
        <v>2141</v>
      </c>
      <c r="B799" s="19" t="s">
        <v>404</v>
      </c>
      <c r="C799" s="19" t="s">
        <v>12</v>
      </c>
      <c r="D799" s="5" t="s">
        <v>405</v>
      </c>
      <c r="E799" s="6">
        <v>367260.24088887998</v>
      </c>
      <c r="F799" s="6">
        <v>6548413.1980844997</v>
      </c>
      <c r="G799" s="7" t="str">
        <f>HYPERLINK("https://minkarta.lantmateriet.se/?e=367260,24088888&amp;n=6548413,1980845&amp;z=12&amp;profile=flygbildmedgranser&amp;background=2&amp;boundaries=true","Visa")</f>
        <v>Visa</v>
      </c>
      <c r="H799" s="5" t="s">
        <v>10</v>
      </c>
      <c r="I799" s="8">
        <v>40.060429999999997</v>
      </c>
      <c r="J799" s="9">
        <v>51.0809</v>
      </c>
      <c r="K799" s="9">
        <v>52.534860000000002</v>
      </c>
      <c r="L799" s="14">
        <v>41.002330000000001</v>
      </c>
      <c r="M799" s="9">
        <v>51.580390000000001</v>
      </c>
      <c r="N799" s="9">
        <v>55.051049999999996</v>
      </c>
      <c r="O799" s="14">
        <v>41.227260000000001</v>
      </c>
      <c r="P799" s="9">
        <v>52.56521</v>
      </c>
      <c r="Q799" s="9">
        <v>55.419789999999999</v>
      </c>
      <c r="R799" s="23">
        <v>35.09319</v>
      </c>
      <c r="S799" s="8">
        <v>0.22492999999999999</v>
      </c>
      <c r="T799" s="9">
        <v>0.98482000000000003</v>
      </c>
      <c r="U799" s="24">
        <v>0.36874000000000001</v>
      </c>
    </row>
    <row r="800" spans="1:21" ht="12" customHeight="1" x14ac:dyDescent="0.25">
      <c r="A800" s="5">
        <v>2142</v>
      </c>
      <c r="B800" s="19" t="s">
        <v>404</v>
      </c>
      <c r="C800" s="19" t="s">
        <v>12</v>
      </c>
      <c r="D800" s="5" t="s">
        <v>405</v>
      </c>
      <c r="E800" s="6">
        <v>367257.49441734003</v>
      </c>
      <c r="F800" s="6">
        <v>6548408.5741323996</v>
      </c>
      <c r="G800" s="7" t="str">
        <f>HYPERLINK("https://minkarta.lantmateriet.se/?e=367257,49441734&amp;n=6548408,5741324&amp;z=12&amp;profile=flygbildmedgranser&amp;background=2&amp;boundaries=true","Visa")</f>
        <v>Visa</v>
      </c>
      <c r="H800" s="5" t="s">
        <v>10</v>
      </c>
      <c r="I800" s="8">
        <v>40.108870000000003</v>
      </c>
      <c r="J800" s="9">
        <v>48.669359999999998</v>
      </c>
      <c r="K800" s="9">
        <v>50.123330000000003</v>
      </c>
      <c r="L800" s="14">
        <v>41.04927</v>
      </c>
      <c r="M800" s="9">
        <v>49.168860000000002</v>
      </c>
      <c r="N800" s="9">
        <v>52.639519999999997</v>
      </c>
      <c r="O800" s="14">
        <v>41.250010000000003</v>
      </c>
      <c r="P800" s="9">
        <v>50.153680000000001</v>
      </c>
      <c r="Q800" s="9">
        <v>53.00826</v>
      </c>
      <c r="R800" s="23">
        <v>31.871130000000001</v>
      </c>
      <c r="S800" s="8">
        <v>0.20074</v>
      </c>
      <c r="T800" s="9">
        <v>0.98482000000000003</v>
      </c>
      <c r="U800" s="24">
        <v>0.36874000000000001</v>
      </c>
    </row>
    <row r="801" spans="1:21" ht="12" customHeight="1" x14ac:dyDescent="0.25">
      <c r="A801" s="5">
        <v>2151</v>
      </c>
      <c r="B801" s="19" t="s">
        <v>406</v>
      </c>
      <c r="C801" s="19" t="s">
        <v>12</v>
      </c>
      <c r="D801" s="5" t="s">
        <v>407</v>
      </c>
      <c r="E801" s="6">
        <v>367268.24750241998</v>
      </c>
      <c r="F801" s="6">
        <v>6548356.1813637996</v>
      </c>
      <c r="G801" s="7" t="str">
        <f>HYPERLINK("https://minkarta.lantmateriet.se/?e=367268,24750242&amp;n=6548356,1813638&amp;z=12&amp;profile=flygbildmedgranser&amp;background=2&amp;boundaries=true","Visa")</f>
        <v>Visa</v>
      </c>
      <c r="H801" s="5" t="s">
        <v>10</v>
      </c>
      <c r="I801" s="8">
        <v>50.671039999999998</v>
      </c>
      <c r="J801" s="9">
        <v>66.775859999999994</v>
      </c>
      <c r="K801" s="9">
        <v>68.229830000000007</v>
      </c>
      <c r="L801" s="14">
        <v>51.641219999999997</v>
      </c>
      <c r="M801" s="9">
        <v>67.275360000000006</v>
      </c>
      <c r="N801" s="9">
        <v>70.746020000000001</v>
      </c>
      <c r="O801" s="14">
        <v>52.554740000000002</v>
      </c>
      <c r="P801" s="9">
        <v>68.260180000000005</v>
      </c>
      <c r="Q801" s="9">
        <v>71.114750000000001</v>
      </c>
      <c r="R801" s="23">
        <v>33.225810000000003</v>
      </c>
      <c r="S801" s="8">
        <v>0.91352</v>
      </c>
      <c r="T801" s="9">
        <v>0.98482000000000003</v>
      </c>
      <c r="U801" s="24">
        <v>0.36873</v>
      </c>
    </row>
    <row r="802" spans="1:21" ht="12" customHeight="1" x14ac:dyDescent="0.25">
      <c r="A802" s="5">
        <v>2152</v>
      </c>
      <c r="B802" s="19" t="s">
        <v>408</v>
      </c>
      <c r="C802" s="19" t="s">
        <v>12</v>
      </c>
      <c r="D802" s="5" t="s">
        <v>409</v>
      </c>
      <c r="E802" s="6">
        <v>367242.72568501998</v>
      </c>
      <c r="F802" s="6">
        <v>6548356.2920080004</v>
      </c>
      <c r="G802" s="7" t="str">
        <f>HYPERLINK("https://minkarta.lantmateriet.se/?e=367242,72568502&amp;n=6548356,292008&amp;z=12&amp;profile=flygbildmedgranser&amp;background=2&amp;boundaries=true","Visa")</f>
        <v>Visa</v>
      </c>
      <c r="H802" s="5" t="s">
        <v>13</v>
      </c>
      <c r="I802" s="8">
        <v>54.234630000000003</v>
      </c>
      <c r="J802" s="9">
        <v>70.047139999999999</v>
      </c>
      <c r="K802" s="9">
        <v>71.501109999999997</v>
      </c>
      <c r="L802" s="14">
        <v>55.20861</v>
      </c>
      <c r="M802" s="9">
        <v>70.546639999999996</v>
      </c>
      <c r="N802" s="9">
        <v>74.017300000000006</v>
      </c>
      <c r="O802" s="14">
        <v>56.150370000000002</v>
      </c>
      <c r="P802" s="9">
        <v>71.531459999999996</v>
      </c>
      <c r="Q802" s="9">
        <v>74.386030000000005</v>
      </c>
      <c r="R802" s="23">
        <v>31.410990000000002</v>
      </c>
      <c r="S802" s="8">
        <v>0.94176000000000004</v>
      </c>
      <c r="T802" s="9">
        <v>0.98482000000000003</v>
      </c>
      <c r="U802" s="24">
        <v>0.36873</v>
      </c>
    </row>
    <row r="803" spans="1:21" ht="12" customHeight="1" x14ac:dyDescent="0.25">
      <c r="A803" s="5">
        <v>2153</v>
      </c>
      <c r="B803" s="19" t="s">
        <v>408</v>
      </c>
      <c r="C803" s="19" t="s">
        <v>12</v>
      </c>
      <c r="D803" s="5" t="s">
        <v>409</v>
      </c>
      <c r="E803" s="6">
        <v>367238.97849686001</v>
      </c>
      <c r="F803" s="6">
        <v>6548362.7711854996</v>
      </c>
      <c r="G803" s="7" t="str">
        <f>HYPERLINK("https://minkarta.lantmateriet.se/?e=367238,97849686&amp;n=6548362,7711855&amp;z=12&amp;profile=flygbildmedgranser&amp;background=2&amp;boundaries=true","Visa")</f>
        <v>Visa</v>
      </c>
      <c r="H803" s="5" t="s">
        <v>14</v>
      </c>
      <c r="I803" s="8">
        <v>38.405709999999999</v>
      </c>
      <c r="J803" s="9">
        <v>40.376040000000003</v>
      </c>
      <c r="K803" s="9">
        <v>41.830010000000001</v>
      </c>
      <c r="L803" s="14">
        <v>39.3521</v>
      </c>
      <c r="M803" s="9">
        <v>40.875160000000001</v>
      </c>
      <c r="N803" s="9">
        <v>44.34581</v>
      </c>
      <c r="O803" s="14">
        <v>39.725769999999997</v>
      </c>
      <c r="P803" s="9">
        <v>41.86036</v>
      </c>
      <c r="Q803" s="9">
        <v>44.714930000000003</v>
      </c>
      <c r="R803" s="23">
        <v>30.431339999999999</v>
      </c>
      <c r="S803" s="8">
        <v>0.37367</v>
      </c>
      <c r="T803" s="9">
        <v>0.98519999999999996</v>
      </c>
      <c r="U803" s="24">
        <v>0.36912</v>
      </c>
    </row>
    <row r="804" spans="1:21" ht="12" customHeight="1" x14ac:dyDescent="0.25">
      <c r="A804" s="5">
        <v>2154</v>
      </c>
      <c r="B804" s="19" t="s">
        <v>408</v>
      </c>
      <c r="C804" s="19" t="s">
        <v>12</v>
      </c>
      <c r="D804" s="5" t="s">
        <v>409</v>
      </c>
      <c r="E804" s="6">
        <v>367232.56831687002</v>
      </c>
      <c r="F804" s="6">
        <v>6548358.9089954998</v>
      </c>
      <c r="G804" s="7" t="str">
        <f>HYPERLINK("https://minkarta.lantmateriet.se/?e=367232,56831687&amp;n=6548358,9089955&amp;z=12&amp;profile=flygbildmedgranser&amp;background=2&amp;boundaries=true","Visa")</f>
        <v>Visa</v>
      </c>
      <c r="H804" s="5" t="s">
        <v>16</v>
      </c>
      <c r="I804" s="8">
        <v>54.809939999999997</v>
      </c>
      <c r="J804" s="9">
        <v>70.361099999999993</v>
      </c>
      <c r="K804" s="9">
        <v>71.815060000000003</v>
      </c>
      <c r="L804" s="14">
        <v>55.75394</v>
      </c>
      <c r="M804" s="9">
        <v>70.860600000000005</v>
      </c>
      <c r="N804" s="9">
        <v>74.331249999999997</v>
      </c>
      <c r="O804" s="14">
        <v>56.680320000000002</v>
      </c>
      <c r="P804" s="9">
        <v>71.845410000000001</v>
      </c>
      <c r="Q804" s="9">
        <v>74.69999</v>
      </c>
      <c r="R804" s="23">
        <v>33.537269999999999</v>
      </c>
      <c r="S804" s="8">
        <v>0.92637999999999998</v>
      </c>
      <c r="T804" s="9">
        <v>0.98480999999999996</v>
      </c>
      <c r="U804" s="24">
        <v>0.36874000000000001</v>
      </c>
    </row>
    <row r="805" spans="1:21" ht="12" customHeight="1" x14ac:dyDescent="0.25">
      <c r="A805" s="5">
        <v>2155</v>
      </c>
      <c r="B805" s="19" t="s">
        <v>408</v>
      </c>
      <c r="C805" s="19" t="s">
        <v>12</v>
      </c>
      <c r="D805" s="5" t="s">
        <v>409</v>
      </c>
      <c r="E805" s="6">
        <v>367236.31550693</v>
      </c>
      <c r="F805" s="6">
        <v>6548352.4298179997</v>
      </c>
      <c r="G805" s="7" t="str">
        <f>HYPERLINK("https://minkarta.lantmateriet.se/?e=367236,31550693&amp;n=6548352,429818&amp;z=12&amp;profile=flygbildmedgranser&amp;background=2&amp;boundaries=true","Visa")</f>
        <v>Visa</v>
      </c>
      <c r="H805" s="5" t="s">
        <v>15</v>
      </c>
      <c r="I805" s="8">
        <v>58.98986</v>
      </c>
      <c r="J805" s="9">
        <v>73.11336</v>
      </c>
      <c r="K805" s="9">
        <v>74.567319999999995</v>
      </c>
      <c r="L805" s="14">
        <v>59.964889999999997</v>
      </c>
      <c r="M805" s="9">
        <v>73.612849999999995</v>
      </c>
      <c r="N805" s="9">
        <v>77.083510000000004</v>
      </c>
      <c r="O805" s="14">
        <v>60.908090000000001</v>
      </c>
      <c r="P805" s="9">
        <v>74.597669999999994</v>
      </c>
      <c r="Q805" s="9">
        <v>77.452250000000006</v>
      </c>
      <c r="R805" s="23">
        <v>30.79523</v>
      </c>
      <c r="S805" s="8">
        <v>0.94320000000000004</v>
      </c>
      <c r="T805" s="9">
        <v>0.98482000000000003</v>
      </c>
      <c r="U805" s="24">
        <v>0.36874000000000001</v>
      </c>
    </row>
    <row r="806" spans="1:21" ht="12" customHeight="1" x14ac:dyDescent="0.25">
      <c r="A806" s="5">
        <v>2156</v>
      </c>
      <c r="B806" s="19" t="s">
        <v>410</v>
      </c>
      <c r="C806" s="19" t="s">
        <v>12</v>
      </c>
      <c r="D806" s="5" t="s">
        <v>411</v>
      </c>
      <c r="E806" s="6">
        <v>367250.94762215001</v>
      </c>
      <c r="F806" s="6">
        <v>6548385.2124349</v>
      </c>
      <c r="G806" s="7" t="str">
        <f>HYPERLINK("https://minkarta.lantmateriet.se/?e=367250,94762215&amp;n=6548385,2124349&amp;z=12&amp;profile=flygbildmedgranser&amp;background=2&amp;boundaries=true","Visa")</f>
        <v>Visa</v>
      </c>
      <c r="H806" s="5" t="s">
        <v>8</v>
      </c>
      <c r="I806" s="8">
        <v>46.304540000000003</v>
      </c>
      <c r="J806" s="9">
        <v>60.290599999999998</v>
      </c>
      <c r="K806" s="9">
        <v>61.74456</v>
      </c>
      <c r="L806" s="14">
        <v>47.255690000000001</v>
      </c>
      <c r="M806" s="9">
        <v>60.790089999999999</v>
      </c>
      <c r="N806" s="9">
        <v>64.260750000000002</v>
      </c>
      <c r="O806" s="14">
        <v>48.168239999999997</v>
      </c>
      <c r="P806" s="9">
        <v>61.774909999999998</v>
      </c>
      <c r="Q806" s="9">
        <v>64.629490000000004</v>
      </c>
      <c r="R806" s="23">
        <v>21.872579999999999</v>
      </c>
      <c r="S806" s="8">
        <v>0.91254999999999997</v>
      </c>
      <c r="T806" s="9">
        <v>0.98482000000000003</v>
      </c>
      <c r="U806" s="24">
        <v>0.36874000000000001</v>
      </c>
    </row>
    <row r="807" spans="1:21" ht="12" customHeight="1" x14ac:dyDescent="0.25">
      <c r="A807" s="5">
        <v>2157</v>
      </c>
      <c r="B807" s="19" t="s">
        <v>410</v>
      </c>
      <c r="C807" s="19" t="s">
        <v>12</v>
      </c>
      <c r="D807" s="5" t="s">
        <v>411</v>
      </c>
      <c r="E807" s="6">
        <v>367250.75006852002</v>
      </c>
      <c r="F807" s="6">
        <v>6548393.7461229004</v>
      </c>
      <c r="G807" s="7" t="str">
        <f>HYPERLINK("https://minkarta.lantmateriet.se/?e=367250,75006852&amp;n=6548393,7461229&amp;z=12&amp;profile=flygbildmedgranser&amp;background=2&amp;boundaries=true","Visa")</f>
        <v>Visa</v>
      </c>
      <c r="H807" s="5" t="s">
        <v>9</v>
      </c>
      <c r="I807" s="8">
        <v>35.305120000000002</v>
      </c>
      <c r="J807" s="9">
        <v>37.619289999999999</v>
      </c>
      <c r="K807" s="9">
        <v>39.073250000000002</v>
      </c>
      <c r="L807" s="14">
        <v>36.241500000000002</v>
      </c>
      <c r="M807" s="9">
        <v>38.118780000000001</v>
      </c>
      <c r="N807" s="9">
        <v>41.589440000000003</v>
      </c>
      <c r="O807" s="14">
        <v>36.578850000000003</v>
      </c>
      <c r="P807" s="9">
        <v>39.1036</v>
      </c>
      <c r="Q807" s="9">
        <v>41.958179999999999</v>
      </c>
      <c r="R807" s="23">
        <v>31.535240000000002</v>
      </c>
      <c r="S807" s="8">
        <v>0.33734999999999998</v>
      </c>
      <c r="T807" s="9">
        <v>0.98482000000000003</v>
      </c>
      <c r="U807" s="24">
        <v>0.36874000000000001</v>
      </c>
    </row>
    <row r="808" spans="1:21" ht="12" customHeight="1" x14ac:dyDescent="0.25">
      <c r="A808" s="5">
        <v>2158</v>
      </c>
      <c r="B808" s="19" t="s">
        <v>410</v>
      </c>
      <c r="C808" s="19" t="s">
        <v>12</v>
      </c>
      <c r="D808" s="5" t="s">
        <v>411</v>
      </c>
      <c r="E808" s="6">
        <v>367243.19788051001</v>
      </c>
      <c r="F808" s="6">
        <v>6548389.7685701996</v>
      </c>
      <c r="G808" s="7" t="str">
        <f>HYPERLINK("https://minkarta.lantmateriet.se/?e=367243,19788051&amp;n=6548389,7685702&amp;z=12&amp;profile=flygbildmedgranser&amp;background=2&amp;boundaries=true","Visa")</f>
        <v>Visa</v>
      </c>
      <c r="H808" s="5" t="s">
        <v>10</v>
      </c>
      <c r="I808" s="8">
        <v>44.021500000000003</v>
      </c>
      <c r="J808" s="9">
        <v>60.12979</v>
      </c>
      <c r="K808" s="9">
        <v>61.583759999999998</v>
      </c>
      <c r="L808" s="14">
        <v>44.972729999999999</v>
      </c>
      <c r="M808" s="9">
        <v>60.629289999999997</v>
      </c>
      <c r="N808" s="9">
        <v>64.099950000000007</v>
      </c>
      <c r="O808" s="14">
        <v>45.588839999999998</v>
      </c>
      <c r="P808" s="9">
        <v>61.614109999999997</v>
      </c>
      <c r="Q808" s="9">
        <v>64.468680000000006</v>
      </c>
      <c r="R808" s="23">
        <v>33.261369999999999</v>
      </c>
      <c r="S808" s="8">
        <v>0.61611000000000005</v>
      </c>
      <c r="T808" s="9">
        <v>0.98482000000000003</v>
      </c>
      <c r="U808" s="24">
        <v>0.36873</v>
      </c>
    </row>
    <row r="809" spans="1:21" ht="12" customHeight="1" x14ac:dyDescent="0.25">
      <c r="A809" s="5">
        <v>2159</v>
      </c>
      <c r="B809" s="19" t="s">
        <v>410</v>
      </c>
      <c r="C809" s="19" t="s">
        <v>12</v>
      </c>
      <c r="D809" s="5" t="s">
        <v>411</v>
      </c>
      <c r="E809" s="6">
        <v>367243.39543231</v>
      </c>
      <c r="F809" s="6">
        <v>6548381.2348817997</v>
      </c>
      <c r="G809" s="7" t="str">
        <f>HYPERLINK("https://minkarta.lantmateriet.se/?e=367243,39543231&amp;n=6548381,2348818&amp;z=12&amp;profile=flygbildmedgranser&amp;background=2&amp;boundaries=true","Visa")</f>
        <v>Visa</v>
      </c>
      <c r="H809" s="5" t="s">
        <v>11</v>
      </c>
      <c r="I809" s="8">
        <v>43.872349999999997</v>
      </c>
      <c r="J809" s="9">
        <v>58.053339999999999</v>
      </c>
      <c r="K809" s="9">
        <v>59.507309999999997</v>
      </c>
      <c r="L809" s="14">
        <v>44.826039999999999</v>
      </c>
      <c r="M809" s="9">
        <v>58.552840000000003</v>
      </c>
      <c r="N809" s="9">
        <v>62.023499999999999</v>
      </c>
      <c r="O809" s="14">
        <v>45.50018</v>
      </c>
      <c r="P809" s="9">
        <v>59.537660000000002</v>
      </c>
      <c r="Q809" s="9">
        <v>62.392229999999998</v>
      </c>
      <c r="R809" s="23">
        <v>37.05753</v>
      </c>
      <c r="S809" s="8">
        <v>0.67413999999999996</v>
      </c>
      <c r="T809" s="9">
        <v>0.98482000000000003</v>
      </c>
      <c r="U809" s="24">
        <v>0.36873</v>
      </c>
    </row>
    <row r="810" spans="1:21" ht="12" customHeight="1" x14ac:dyDescent="0.25">
      <c r="A810" s="5">
        <v>2160</v>
      </c>
      <c r="B810" s="19" t="s">
        <v>412</v>
      </c>
      <c r="C810" s="19" t="s">
        <v>12</v>
      </c>
      <c r="D810" s="5" t="s">
        <v>413</v>
      </c>
      <c r="E810" s="6">
        <v>367235.52661379997</v>
      </c>
      <c r="F810" s="6">
        <v>6548394.2714206995</v>
      </c>
      <c r="G810" s="7" t="str">
        <f>HYPERLINK("https://minkarta.lantmateriet.se/?e=367235,5266138&amp;n=6548394,2714207&amp;z=12&amp;profile=flygbildmedgranser&amp;background=2&amp;boundaries=true","Visa")</f>
        <v>Visa</v>
      </c>
      <c r="H810" s="5" t="s">
        <v>8</v>
      </c>
      <c r="I810" s="8">
        <v>43.401339999999998</v>
      </c>
      <c r="J810" s="9">
        <v>60.286209999999997</v>
      </c>
      <c r="K810" s="9">
        <v>61.740180000000002</v>
      </c>
      <c r="L810" s="14">
        <v>44.340049999999998</v>
      </c>
      <c r="M810" s="9">
        <v>60.785710000000002</v>
      </c>
      <c r="N810" s="9">
        <v>64.256360000000001</v>
      </c>
      <c r="O810" s="14">
        <v>45.157330000000002</v>
      </c>
      <c r="P810" s="9">
        <v>61.770530000000001</v>
      </c>
      <c r="Q810" s="9">
        <v>64.625100000000003</v>
      </c>
      <c r="R810" s="23">
        <v>29.630490000000002</v>
      </c>
      <c r="S810" s="8">
        <v>0.81728000000000001</v>
      </c>
      <c r="T810" s="9">
        <v>0.98482000000000003</v>
      </c>
      <c r="U810" s="24">
        <v>0.36874000000000001</v>
      </c>
    </row>
    <row r="811" spans="1:21" ht="12" customHeight="1" x14ac:dyDescent="0.25">
      <c r="A811" s="5">
        <v>2161</v>
      </c>
      <c r="B811" s="19" t="s">
        <v>412</v>
      </c>
      <c r="C811" s="19" t="s">
        <v>12</v>
      </c>
      <c r="D811" s="5" t="s">
        <v>413</v>
      </c>
      <c r="E811" s="6">
        <v>367235.33208299999</v>
      </c>
      <c r="F811" s="6">
        <v>6548402.8526144</v>
      </c>
      <c r="G811" s="7" t="str">
        <f>HYPERLINK("https://minkarta.lantmateriet.se/?e=367235,332083&amp;n=6548402,8526144&amp;z=12&amp;profile=flygbildmedgranser&amp;background=2&amp;boundaries=true","Visa")</f>
        <v>Visa</v>
      </c>
      <c r="H811" s="5" t="s">
        <v>9</v>
      </c>
      <c r="I811" s="8">
        <v>36.235230000000001</v>
      </c>
      <c r="J811" s="9">
        <v>42.305480000000003</v>
      </c>
      <c r="K811" s="9">
        <v>43.759450000000001</v>
      </c>
      <c r="L811" s="14">
        <v>37.164760000000001</v>
      </c>
      <c r="M811" s="9">
        <v>42.80498</v>
      </c>
      <c r="N811" s="9">
        <v>46.27563</v>
      </c>
      <c r="O811" s="14">
        <v>37.421050000000001</v>
      </c>
      <c r="P811" s="9">
        <v>43.789790000000004</v>
      </c>
      <c r="Q811" s="9">
        <v>46.644370000000002</v>
      </c>
      <c r="R811" s="23">
        <v>27.26943</v>
      </c>
      <c r="S811" s="8">
        <v>0.25629000000000002</v>
      </c>
      <c r="T811" s="9">
        <v>0.98480999999999996</v>
      </c>
      <c r="U811" s="24">
        <v>0.36874000000000001</v>
      </c>
    </row>
    <row r="812" spans="1:21" ht="12" customHeight="1" x14ac:dyDescent="0.25">
      <c r="A812" s="5">
        <v>2164</v>
      </c>
      <c r="B812" s="19" t="s">
        <v>414</v>
      </c>
      <c r="C812" s="19" t="s">
        <v>12</v>
      </c>
      <c r="D812" s="5" t="s">
        <v>415</v>
      </c>
      <c r="E812" s="6">
        <v>367218.70788201003</v>
      </c>
      <c r="F812" s="6">
        <v>6548364.8745384002</v>
      </c>
      <c r="G812" s="7" t="str">
        <f>HYPERLINK("https://minkarta.lantmateriet.se/?e=367218,70788201&amp;n=6548364,8745384&amp;z=12&amp;profile=flygbildmedgranser&amp;background=2&amp;boundaries=true","Visa")</f>
        <v>Visa</v>
      </c>
      <c r="H812" s="5" t="s">
        <v>13</v>
      </c>
      <c r="I812" s="8">
        <v>53.519019999999998</v>
      </c>
      <c r="J812" s="9">
        <v>69.378709999999998</v>
      </c>
      <c r="K812" s="9">
        <v>70.832669999999993</v>
      </c>
      <c r="L812" s="14">
        <v>54.47972</v>
      </c>
      <c r="M812" s="9">
        <v>69.878200000000007</v>
      </c>
      <c r="N812" s="9">
        <v>73.348860000000002</v>
      </c>
      <c r="O812" s="14">
        <v>55.409790000000001</v>
      </c>
      <c r="P812" s="9">
        <v>70.863020000000006</v>
      </c>
      <c r="Q812" s="9">
        <v>73.717600000000004</v>
      </c>
      <c r="R812" s="23">
        <v>31.91377</v>
      </c>
      <c r="S812" s="8">
        <v>0.93006999999999995</v>
      </c>
      <c r="T812" s="9">
        <v>0.98482000000000003</v>
      </c>
      <c r="U812" s="24">
        <v>0.36874000000000001</v>
      </c>
    </row>
    <row r="813" spans="1:21" ht="12" customHeight="1" x14ac:dyDescent="0.25">
      <c r="A813" s="5">
        <v>2165</v>
      </c>
      <c r="B813" s="19" t="s">
        <v>414</v>
      </c>
      <c r="C813" s="19" t="s">
        <v>12</v>
      </c>
      <c r="D813" s="5" t="s">
        <v>415</v>
      </c>
      <c r="E813" s="6">
        <v>367217.32746618002</v>
      </c>
      <c r="F813" s="6">
        <v>6548372.4418823998</v>
      </c>
      <c r="G813" s="7" t="str">
        <f>HYPERLINK("https://minkarta.lantmateriet.se/?e=367217,32746618&amp;n=6548372,4418824&amp;z=12&amp;profile=flygbildmedgranser&amp;background=2&amp;boundaries=true","Visa")</f>
        <v>Visa</v>
      </c>
      <c r="H813" s="5" t="s">
        <v>14</v>
      </c>
      <c r="I813" s="8">
        <v>39.574010000000001</v>
      </c>
      <c r="J813" s="9">
        <v>49.513150000000003</v>
      </c>
      <c r="K813" s="9">
        <v>50.967120000000001</v>
      </c>
      <c r="L813" s="14">
        <v>40.515450000000001</v>
      </c>
      <c r="M813" s="9">
        <v>50.012650000000001</v>
      </c>
      <c r="N813" s="9">
        <v>53.483310000000003</v>
      </c>
      <c r="O813" s="14">
        <v>40.839950000000002</v>
      </c>
      <c r="P813" s="9">
        <v>50.99747</v>
      </c>
      <c r="Q813" s="9">
        <v>53.852040000000002</v>
      </c>
      <c r="R813" s="23">
        <v>27.799399999999999</v>
      </c>
      <c r="S813" s="8">
        <v>0.32450000000000001</v>
      </c>
      <c r="T813" s="9">
        <v>0.98482000000000003</v>
      </c>
      <c r="U813" s="24">
        <v>0.36873</v>
      </c>
    </row>
    <row r="814" spans="1:21" ht="12" customHeight="1" x14ac:dyDescent="0.25">
      <c r="A814" s="5">
        <v>2168</v>
      </c>
      <c r="B814" s="19" t="s">
        <v>414</v>
      </c>
      <c r="C814" s="19" t="s">
        <v>12</v>
      </c>
      <c r="D814" s="5" t="s">
        <v>415</v>
      </c>
      <c r="E814" s="6">
        <v>367204.47062073997</v>
      </c>
      <c r="F814" s="6">
        <v>6548366.6294676997</v>
      </c>
      <c r="G814" s="7" t="str">
        <f>HYPERLINK("https://minkarta.lantmateriet.se/?e=367204,47062074&amp;n=6548366,6294677&amp;z=12&amp;profile=flygbildmedgranser&amp;background=2&amp;boundaries=true","Visa")</f>
        <v>Visa</v>
      </c>
      <c r="H814" s="5" t="s">
        <v>16</v>
      </c>
      <c r="I814" s="8">
        <v>55.522370000000002</v>
      </c>
      <c r="J814" s="9">
        <v>71.506649999999993</v>
      </c>
      <c r="K814" s="9">
        <v>72.960610000000003</v>
      </c>
      <c r="L814" s="14">
        <v>56.471409999999999</v>
      </c>
      <c r="M814" s="9">
        <v>72.006140000000002</v>
      </c>
      <c r="N814" s="9">
        <v>75.476799999999997</v>
      </c>
      <c r="O814" s="14">
        <v>57.401200000000003</v>
      </c>
      <c r="P814" s="9">
        <v>72.990960000000001</v>
      </c>
      <c r="Q814" s="9">
        <v>75.84554</v>
      </c>
      <c r="R814" s="23">
        <v>38.913699999999999</v>
      </c>
      <c r="S814" s="8">
        <v>0.92979000000000001</v>
      </c>
      <c r="T814" s="9">
        <v>0.98482000000000003</v>
      </c>
      <c r="U814" s="24">
        <v>0.36874000000000001</v>
      </c>
    </row>
    <row r="815" spans="1:21" ht="12" customHeight="1" x14ac:dyDescent="0.25">
      <c r="A815" s="5">
        <v>2169</v>
      </c>
      <c r="B815" s="19" t="s">
        <v>414</v>
      </c>
      <c r="C815" s="19" t="s">
        <v>12</v>
      </c>
      <c r="D815" s="5" t="s">
        <v>415</v>
      </c>
      <c r="E815" s="6">
        <v>367206.32003583998</v>
      </c>
      <c r="F815" s="6">
        <v>6548362.7796216002</v>
      </c>
      <c r="G815" s="7" t="str">
        <f>HYPERLINK("https://minkarta.lantmateriet.se/?e=367206,32003584&amp;n=6548362,7796216&amp;z=12&amp;profile=flygbildmedgranser&amp;background=2&amp;boundaries=true","Visa")</f>
        <v>Visa</v>
      </c>
      <c r="H815" s="5" t="s">
        <v>15</v>
      </c>
      <c r="I815" s="8">
        <v>58.856610000000003</v>
      </c>
      <c r="J815" s="9">
        <v>73.097859999999997</v>
      </c>
      <c r="K815" s="9">
        <v>74.551829999999995</v>
      </c>
      <c r="L815" s="14">
        <v>59.807009999999998</v>
      </c>
      <c r="M815" s="9">
        <v>73.597359999999995</v>
      </c>
      <c r="N815" s="9">
        <v>77.068020000000004</v>
      </c>
      <c r="O815" s="14">
        <v>60.750039999999998</v>
      </c>
      <c r="P815" s="9">
        <v>74.582179999999994</v>
      </c>
      <c r="Q815" s="9">
        <v>77.436750000000004</v>
      </c>
      <c r="R815" s="23">
        <v>39.122309999999999</v>
      </c>
      <c r="S815" s="8">
        <v>0.94303000000000003</v>
      </c>
      <c r="T815" s="9">
        <v>0.98482000000000003</v>
      </c>
      <c r="U815" s="24">
        <v>0.36873</v>
      </c>
    </row>
    <row r="816" spans="1:21" ht="12" customHeight="1" x14ac:dyDescent="0.25">
      <c r="A816" s="5">
        <v>2170</v>
      </c>
      <c r="B816" s="19" t="s">
        <v>414</v>
      </c>
      <c r="C816" s="19" t="s">
        <v>12</v>
      </c>
      <c r="D816" s="5" t="s">
        <v>415</v>
      </c>
      <c r="E816" s="6">
        <v>367212.73453714</v>
      </c>
      <c r="F816" s="6">
        <v>6548360.0231210999</v>
      </c>
      <c r="G816" s="7" t="str">
        <f>HYPERLINK("https://minkarta.lantmateriet.se/?e=367212,73453714&amp;n=6548360,0231211&amp;z=12&amp;profile=flygbildmedgranser&amp;background=2&amp;boundaries=true","Visa")</f>
        <v>Visa</v>
      </c>
      <c r="H816" s="5" t="s">
        <v>15</v>
      </c>
      <c r="I816" s="8">
        <v>58.940570000000001</v>
      </c>
      <c r="J816" s="9">
        <v>72.966669999999993</v>
      </c>
      <c r="K816" s="9">
        <v>74.420640000000006</v>
      </c>
      <c r="L816" s="14">
        <v>59.893940000000001</v>
      </c>
      <c r="M816" s="9">
        <v>73.466170000000005</v>
      </c>
      <c r="N816" s="9">
        <v>76.93683</v>
      </c>
      <c r="O816" s="14">
        <v>60.84113</v>
      </c>
      <c r="P816" s="9">
        <v>74.450990000000004</v>
      </c>
      <c r="Q816" s="9">
        <v>77.30556</v>
      </c>
      <c r="R816" s="23">
        <v>39.415889999999997</v>
      </c>
      <c r="S816" s="8">
        <v>0.94718999999999998</v>
      </c>
      <c r="T816" s="9">
        <v>0.98482000000000003</v>
      </c>
      <c r="U816" s="24">
        <v>0.36873</v>
      </c>
    </row>
    <row r="817" spans="1:21" ht="12" customHeight="1" x14ac:dyDescent="0.25">
      <c r="A817" s="5">
        <v>2171</v>
      </c>
      <c r="B817" s="19" t="s">
        <v>416</v>
      </c>
      <c r="C817" s="19" t="s">
        <v>12</v>
      </c>
      <c r="D817" s="5" t="s">
        <v>417</v>
      </c>
      <c r="E817" s="6">
        <v>367189.99918664002</v>
      </c>
      <c r="F817" s="6">
        <v>6548378.6792371999</v>
      </c>
      <c r="G817" s="7" t="str">
        <f>HYPERLINK("https://minkarta.lantmateriet.se/?e=367189,99918664&amp;n=6548378,6792372&amp;z=12&amp;profile=flygbildmedgranser&amp;background=2&amp;boundaries=true","Visa")</f>
        <v>Visa</v>
      </c>
      <c r="H817" s="5" t="s">
        <v>11</v>
      </c>
      <c r="I817" s="8">
        <v>55.087209999999999</v>
      </c>
      <c r="J817" s="9">
        <v>68.986249999999998</v>
      </c>
      <c r="K817" s="9">
        <v>70.440219999999997</v>
      </c>
      <c r="L817" s="14">
        <v>56.025320000000001</v>
      </c>
      <c r="M817" s="9">
        <v>69.485749999999996</v>
      </c>
      <c r="N817" s="9">
        <v>72.956410000000005</v>
      </c>
      <c r="O817" s="14">
        <v>56.957619999999999</v>
      </c>
      <c r="P817" s="9">
        <v>70.470569999999995</v>
      </c>
      <c r="Q817" s="9">
        <v>73.325140000000005</v>
      </c>
      <c r="R817" s="23">
        <v>27.82666</v>
      </c>
      <c r="S817" s="8">
        <v>0.93230000000000002</v>
      </c>
      <c r="T817" s="9">
        <v>0.98482000000000003</v>
      </c>
      <c r="U817" s="24">
        <v>0.36873</v>
      </c>
    </row>
    <row r="818" spans="1:21" ht="12" customHeight="1" x14ac:dyDescent="0.25">
      <c r="A818" s="5">
        <v>2172</v>
      </c>
      <c r="B818" s="19" t="s">
        <v>416</v>
      </c>
      <c r="C818" s="19" t="s">
        <v>12</v>
      </c>
      <c r="D818" s="5" t="s">
        <v>417</v>
      </c>
      <c r="E818" s="6">
        <v>367194.20879182999</v>
      </c>
      <c r="F818" s="6">
        <v>6548381.2492353003</v>
      </c>
      <c r="G818" s="7" t="str">
        <f>HYPERLINK("https://minkarta.lantmateriet.se/?e=367194,20879183&amp;n=6548381,2492353&amp;z=12&amp;profile=flygbildmedgranser&amp;background=2&amp;boundaries=true","Visa")</f>
        <v>Visa</v>
      </c>
      <c r="H818" s="5" t="s">
        <v>8</v>
      </c>
      <c r="I818" s="8">
        <v>50.380940000000002</v>
      </c>
      <c r="J818" s="9">
        <v>66.189409999999995</v>
      </c>
      <c r="K818" s="9">
        <v>67.643389999999997</v>
      </c>
      <c r="L818" s="14">
        <v>51.320160000000001</v>
      </c>
      <c r="M818" s="9">
        <v>66.688910000000007</v>
      </c>
      <c r="N818" s="9">
        <v>70.159580000000005</v>
      </c>
      <c r="O818" s="14">
        <v>52.247860000000003</v>
      </c>
      <c r="P818" s="9">
        <v>67.673739999999995</v>
      </c>
      <c r="Q818" s="9">
        <v>70.528310000000005</v>
      </c>
      <c r="R818" s="23">
        <v>28.093109999999999</v>
      </c>
      <c r="S818" s="8">
        <v>0.92769999999999997</v>
      </c>
      <c r="T818" s="9">
        <v>0.98482999999999998</v>
      </c>
      <c r="U818" s="24">
        <v>0.36873</v>
      </c>
    </row>
    <row r="819" spans="1:21" ht="12" customHeight="1" x14ac:dyDescent="0.25">
      <c r="A819" s="5">
        <v>2173</v>
      </c>
      <c r="B819" s="19" t="s">
        <v>416</v>
      </c>
      <c r="C819" s="19" t="s">
        <v>12</v>
      </c>
      <c r="D819" s="5" t="s">
        <v>417</v>
      </c>
      <c r="E819" s="6">
        <v>367189.79827633</v>
      </c>
      <c r="F819" s="6">
        <v>6548388.5167880999</v>
      </c>
      <c r="G819" s="7" t="str">
        <f>HYPERLINK("https://minkarta.lantmateriet.se/?e=367189,79827633&amp;n=6548388,5167881&amp;z=12&amp;profile=flygbildmedgranser&amp;background=2&amp;boundaries=true","Visa")</f>
        <v>Visa</v>
      </c>
      <c r="H819" s="5" t="s">
        <v>9</v>
      </c>
      <c r="I819" s="8">
        <v>40.336460000000002</v>
      </c>
      <c r="J819" s="9">
        <v>54.166960000000003</v>
      </c>
      <c r="K819" s="9">
        <v>55.620930000000001</v>
      </c>
      <c r="L819" s="14">
        <v>41.29345</v>
      </c>
      <c r="M819" s="9">
        <v>54.666460000000001</v>
      </c>
      <c r="N819" s="9">
        <v>58.137120000000003</v>
      </c>
      <c r="O819" s="14">
        <v>41.884030000000003</v>
      </c>
      <c r="P819" s="9">
        <v>55.651269999999997</v>
      </c>
      <c r="Q819" s="9">
        <v>58.505850000000002</v>
      </c>
      <c r="R819" s="23">
        <v>28.156269999999999</v>
      </c>
      <c r="S819" s="8">
        <v>0.59057999999999999</v>
      </c>
      <c r="T819" s="9">
        <v>0.98480999999999996</v>
      </c>
      <c r="U819" s="24">
        <v>0.36873</v>
      </c>
    </row>
    <row r="820" spans="1:21" ht="12" customHeight="1" x14ac:dyDescent="0.25">
      <c r="A820" s="5">
        <v>2174</v>
      </c>
      <c r="B820" s="19" t="s">
        <v>416</v>
      </c>
      <c r="C820" s="19" t="s">
        <v>12</v>
      </c>
      <c r="D820" s="5" t="s">
        <v>417</v>
      </c>
      <c r="E820" s="6">
        <v>367181.09824199998</v>
      </c>
      <c r="F820" s="6">
        <v>6548387.9383268999</v>
      </c>
      <c r="G820" s="7" t="str">
        <f>HYPERLINK("https://minkarta.lantmateriet.se/?e=367181,098242&amp;n=6548387,9383269&amp;z=12&amp;profile=flygbildmedgranser&amp;background=2&amp;boundaries=true","Visa")</f>
        <v>Visa</v>
      </c>
      <c r="H820" s="5" t="s">
        <v>10</v>
      </c>
      <c r="I820" s="8">
        <v>52.417630000000003</v>
      </c>
      <c r="J820" s="9">
        <v>66.01482</v>
      </c>
      <c r="K820" s="9">
        <v>67.468779999999995</v>
      </c>
      <c r="L820" s="14">
        <v>53.40231</v>
      </c>
      <c r="M820" s="9">
        <v>66.514309999999995</v>
      </c>
      <c r="N820" s="9">
        <v>69.984970000000004</v>
      </c>
      <c r="O820" s="14">
        <v>54.3142</v>
      </c>
      <c r="P820" s="9">
        <v>67.499129999999994</v>
      </c>
      <c r="Q820" s="9">
        <v>70.353710000000007</v>
      </c>
      <c r="R820" s="23">
        <v>35.694209999999998</v>
      </c>
      <c r="S820" s="8">
        <v>0.91188999999999998</v>
      </c>
      <c r="T820" s="9">
        <v>0.98482000000000003</v>
      </c>
      <c r="U820" s="24">
        <v>0.36874000000000001</v>
      </c>
    </row>
    <row r="821" spans="1:21" ht="12" customHeight="1" x14ac:dyDescent="0.25">
      <c r="A821" s="5">
        <v>2176</v>
      </c>
      <c r="B821" s="19" t="s">
        <v>418</v>
      </c>
      <c r="C821" s="19" t="s">
        <v>12</v>
      </c>
      <c r="D821" s="5" t="s">
        <v>419</v>
      </c>
      <c r="E821" s="6">
        <v>367202.43327793002</v>
      </c>
      <c r="F821" s="6">
        <v>6548404.1617098004</v>
      </c>
      <c r="G821" s="7" t="str">
        <f>HYPERLINK("https://minkarta.lantmateriet.se/?e=367202,43327793&amp;n=6548404,1617098&amp;z=12&amp;profile=flygbildmedgranser&amp;background=2&amp;boundaries=true","Visa")</f>
        <v>Visa</v>
      </c>
      <c r="H821" s="5" t="s">
        <v>8</v>
      </c>
      <c r="I821" s="8">
        <v>42.03942</v>
      </c>
      <c r="J821" s="9">
        <v>58.08043</v>
      </c>
      <c r="K821" s="9">
        <v>59.534390000000002</v>
      </c>
      <c r="L821" s="14">
        <v>42.983939999999997</v>
      </c>
      <c r="M821" s="9">
        <v>58.579929999999997</v>
      </c>
      <c r="N821" s="9">
        <v>62.050579999999997</v>
      </c>
      <c r="O821" s="14">
        <v>43.80095</v>
      </c>
      <c r="P821" s="9">
        <v>59.56474</v>
      </c>
      <c r="Q821" s="9">
        <v>62.419319999999999</v>
      </c>
      <c r="R821" s="23">
        <v>22.892119999999998</v>
      </c>
      <c r="S821" s="8">
        <v>0.81701000000000001</v>
      </c>
      <c r="T821" s="9">
        <v>0.98480999999999996</v>
      </c>
      <c r="U821" s="24">
        <v>0.36874000000000001</v>
      </c>
    </row>
    <row r="822" spans="1:21" ht="12" customHeight="1" x14ac:dyDescent="0.25">
      <c r="A822" s="5">
        <v>2178</v>
      </c>
      <c r="B822" s="19" t="s">
        <v>418</v>
      </c>
      <c r="C822" s="19" t="s">
        <v>12</v>
      </c>
      <c r="D822" s="5" t="s">
        <v>419</v>
      </c>
      <c r="E822" s="6">
        <v>367192.70672382001</v>
      </c>
      <c r="F822" s="6">
        <v>6548409.4707938004</v>
      </c>
      <c r="G822" s="7" t="str">
        <f>HYPERLINK("https://minkarta.lantmateriet.se/?e=367192,70672382&amp;n=6548409,4707938&amp;z=12&amp;profile=flygbildmedgranser&amp;background=2&amp;boundaries=true","Visa")</f>
        <v>Visa</v>
      </c>
      <c r="H822" s="5" t="s">
        <v>10</v>
      </c>
      <c r="I822" s="8">
        <v>47.879980000000003</v>
      </c>
      <c r="J822" s="9">
        <v>62.429760000000002</v>
      </c>
      <c r="K822" s="9">
        <v>63.883719999999997</v>
      </c>
      <c r="L822" s="14">
        <v>48.85445</v>
      </c>
      <c r="M822" s="9">
        <v>62.929250000000003</v>
      </c>
      <c r="N822" s="9">
        <v>66.399910000000006</v>
      </c>
      <c r="O822" s="14">
        <v>49.702640000000002</v>
      </c>
      <c r="P822" s="9">
        <v>63.914070000000002</v>
      </c>
      <c r="Q822" s="9">
        <v>66.768649999999994</v>
      </c>
      <c r="R822" s="23">
        <v>39.340170000000001</v>
      </c>
      <c r="S822" s="8">
        <v>0.84819</v>
      </c>
      <c r="T822" s="9">
        <v>0.98482000000000003</v>
      </c>
      <c r="U822" s="24">
        <v>0.36874000000000001</v>
      </c>
    </row>
    <row r="823" spans="1:21" ht="12" customHeight="1" x14ac:dyDescent="0.25">
      <c r="A823" s="5">
        <v>2179</v>
      </c>
      <c r="B823" s="19" t="s">
        <v>418</v>
      </c>
      <c r="C823" s="19" t="s">
        <v>12</v>
      </c>
      <c r="D823" s="5" t="s">
        <v>419</v>
      </c>
      <c r="E823" s="6">
        <v>367195.34871026</v>
      </c>
      <c r="F823" s="6">
        <v>6548402.7477241997</v>
      </c>
      <c r="G823" s="7" t="str">
        <f>HYPERLINK("https://minkarta.lantmateriet.se/?e=367195,34871026&amp;n=6548402,7477242&amp;z=12&amp;profile=flygbildmedgranser&amp;background=2&amp;boundaries=true","Visa")</f>
        <v>Visa</v>
      </c>
      <c r="H823" s="5" t="s">
        <v>11</v>
      </c>
      <c r="I823" s="8">
        <v>47.862180000000002</v>
      </c>
      <c r="J823" s="9">
        <v>61.196249999999999</v>
      </c>
      <c r="K823" s="9">
        <v>62.650219999999997</v>
      </c>
      <c r="L823" s="14">
        <v>48.846679999999999</v>
      </c>
      <c r="M823" s="9">
        <v>61.695749999999997</v>
      </c>
      <c r="N823" s="9">
        <v>65.166399999999996</v>
      </c>
      <c r="O823" s="14">
        <v>49.718789999999998</v>
      </c>
      <c r="P823" s="9">
        <v>62.68056</v>
      </c>
      <c r="Q823" s="9">
        <v>65.535139999999998</v>
      </c>
      <c r="R823" s="23">
        <v>39.035139999999998</v>
      </c>
      <c r="S823" s="8">
        <v>0.87211000000000005</v>
      </c>
      <c r="T823" s="9">
        <v>0.98480999999999996</v>
      </c>
      <c r="U823" s="24">
        <v>0.36874000000000001</v>
      </c>
    </row>
    <row r="824" spans="1:21" ht="12" customHeight="1" x14ac:dyDescent="0.25">
      <c r="A824" s="5">
        <v>2180</v>
      </c>
      <c r="B824" s="19" t="s">
        <v>420</v>
      </c>
      <c r="C824" s="19" t="s">
        <v>12</v>
      </c>
      <c r="D824" s="5" t="s">
        <v>421</v>
      </c>
      <c r="E824" s="6">
        <v>367214.65780381998</v>
      </c>
      <c r="F824" s="6">
        <v>6548430.2089286</v>
      </c>
      <c r="G824" s="7" t="str">
        <f>HYPERLINK("https://minkarta.lantmateriet.se/?e=367214,65780382&amp;n=6548430,2089286&amp;z=12&amp;profile=flygbildmedgranser&amp;background=2&amp;boundaries=true","Visa")</f>
        <v>Visa</v>
      </c>
      <c r="H824" s="5" t="s">
        <v>8</v>
      </c>
      <c r="I824" s="8">
        <v>37.555889999999998</v>
      </c>
      <c r="J824" s="9">
        <v>49.05585</v>
      </c>
      <c r="K824" s="9">
        <v>50.509819999999998</v>
      </c>
      <c r="L824" s="14">
        <v>38.49727</v>
      </c>
      <c r="M824" s="9">
        <v>49.555349999999997</v>
      </c>
      <c r="N824" s="9">
        <v>53.026000000000003</v>
      </c>
      <c r="O824" s="14">
        <v>38.839109999999998</v>
      </c>
      <c r="P824" s="9">
        <v>50.54016</v>
      </c>
      <c r="Q824" s="9">
        <v>53.394739999999999</v>
      </c>
      <c r="R824" s="23">
        <v>33.575629999999997</v>
      </c>
      <c r="S824" s="8">
        <v>0.34183999999999998</v>
      </c>
      <c r="T824" s="9">
        <v>0.98480999999999996</v>
      </c>
      <c r="U824" s="24">
        <v>0.36874000000000001</v>
      </c>
    </row>
    <row r="825" spans="1:21" ht="12" customHeight="1" x14ac:dyDescent="0.25">
      <c r="A825" s="5">
        <v>2181</v>
      </c>
      <c r="B825" s="19" t="s">
        <v>420</v>
      </c>
      <c r="C825" s="19" t="s">
        <v>12</v>
      </c>
      <c r="D825" s="5" t="s">
        <v>421</v>
      </c>
      <c r="E825" s="6">
        <v>367214.82107449998</v>
      </c>
      <c r="F825" s="6">
        <v>6548434.9963047998</v>
      </c>
      <c r="G825" s="7" t="str">
        <f>HYPERLINK("https://minkarta.lantmateriet.se/?e=367214,8210745&amp;n=6548434,9963048&amp;z=12&amp;profile=flygbildmedgranser&amp;background=2&amp;boundaries=true","Visa")</f>
        <v>Visa</v>
      </c>
      <c r="H825" s="5" t="s">
        <v>9</v>
      </c>
      <c r="I825" s="8">
        <v>38.565480000000001</v>
      </c>
      <c r="J825" s="9">
        <v>47.297669999999997</v>
      </c>
      <c r="K825" s="9">
        <v>48.751629999999999</v>
      </c>
      <c r="L825" s="14">
        <v>39.503</v>
      </c>
      <c r="M825" s="9">
        <v>47.797159999999998</v>
      </c>
      <c r="N825" s="9">
        <v>51.26782</v>
      </c>
      <c r="O825" s="14">
        <v>39.962499999999999</v>
      </c>
      <c r="P825" s="9">
        <v>48.782139999999998</v>
      </c>
      <c r="Q825" s="9">
        <v>51.636719999999997</v>
      </c>
      <c r="R825" s="23">
        <v>27.34929</v>
      </c>
      <c r="S825" s="8">
        <v>0.45950000000000002</v>
      </c>
      <c r="T825" s="9">
        <v>0.98497999999999997</v>
      </c>
      <c r="U825" s="24">
        <v>0.36890000000000001</v>
      </c>
    </row>
    <row r="826" spans="1:21" ht="12" customHeight="1" x14ac:dyDescent="0.25">
      <c r="A826" s="5">
        <v>2182</v>
      </c>
      <c r="B826" s="19" t="s">
        <v>420</v>
      </c>
      <c r="C826" s="19" t="s">
        <v>12</v>
      </c>
      <c r="D826" s="5" t="s">
        <v>421</v>
      </c>
      <c r="E826" s="6">
        <v>367208.80819776998</v>
      </c>
      <c r="F826" s="6">
        <v>6548430.5820747996</v>
      </c>
      <c r="G826" s="7" t="str">
        <f>HYPERLINK("https://minkarta.lantmateriet.se/?e=367208,80819777&amp;n=6548430,5820748&amp;z=12&amp;profile=flygbildmedgranser&amp;background=2&amp;boundaries=true","Visa")</f>
        <v>Visa</v>
      </c>
      <c r="H826" s="5" t="s">
        <v>10</v>
      </c>
      <c r="I826" s="8">
        <v>43.673000000000002</v>
      </c>
      <c r="J826" s="9">
        <v>57.35613</v>
      </c>
      <c r="K826" s="9">
        <v>58.810099999999998</v>
      </c>
      <c r="L826" s="14">
        <v>44.65211</v>
      </c>
      <c r="M826" s="9">
        <v>57.855629999999998</v>
      </c>
      <c r="N826" s="9">
        <v>61.32629</v>
      </c>
      <c r="O826" s="14">
        <v>45.401069999999997</v>
      </c>
      <c r="P826" s="9">
        <v>58.840449999999997</v>
      </c>
      <c r="Q826" s="9">
        <v>61.69502</v>
      </c>
      <c r="R826" s="23">
        <v>36.973930000000003</v>
      </c>
      <c r="S826" s="8">
        <v>0.74895999999999996</v>
      </c>
      <c r="T826" s="9">
        <v>0.98482000000000003</v>
      </c>
      <c r="U826" s="24">
        <v>0.36873</v>
      </c>
    </row>
    <row r="827" spans="1:21" ht="12" customHeight="1" x14ac:dyDescent="0.25">
      <c r="A827" s="5">
        <v>2183</v>
      </c>
      <c r="B827" s="19" t="s">
        <v>420</v>
      </c>
      <c r="C827" s="19" t="s">
        <v>12</v>
      </c>
      <c r="D827" s="5" t="s">
        <v>421</v>
      </c>
      <c r="E827" s="6">
        <v>367208.03292798001</v>
      </c>
      <c r="F827" s="6">
        <v>6548422.6521988995</v>
      </c>
      <c r="G827" s="7" t="str">
        <f>HYPERLINK("https://minkarta.lantmateriet.se/?e=367208,03292798&amp;n=6548422,6521989&amp;z=12&amp;profile=flygbildmedgranser&amp;background=2&amp;boundaries=true","Visa")</f>
        <v>Visa</v>
      </c>
      <c r="H827" s="5" t="s">
        <v>11</v>
      </c>
      <c r="I827" s="8">
        <v>41.63879</v>
      </c>
      <c r="J827" s="9">
        <v>56.803510000000003</v>
      </c>
      <c r="K827" s="9">
        <v>58.257480000000001</v>
      </c>
      <c r="L827" s="14">
        <v>42.597549999999998</v>
      </c>
      <c r="M827" s="9">
        <v>57.30301</v>
      </c>
      <c r="N827" s="9">
        <v>60.773670000000003</v>
      </c>
      <c r="O827" s="14">
        <v>43.358890000000002</v>
      </c>
      <c r="P827" s="9">
        <v>58.28783</v>
      </c>
      <c r="Q827" s="9">
        <v>61.142400000000002</v>
      </c>
      <c r="R827" s="23">
        <v>37.202889999999996</v>
      </c>
      <c r="S827" s="8">
        <v>0.76134000000000002</v>
      </c>
      <c r="T827" s="9">
        <v>0.98482000000000003</v>
      </c>
      <c r="U827" s="24">
        <v>0.36873</v>
      </c>
    </row>
    <row r="828" spans="1:21" ht="12" customHeight="1" x14ac:dyDescent="0.25">
      <c r="A828" s="5">
        <v>2184</v>
      </c>
      <c r="B828" s="19" t="s">
        <v>420</v>
      </c>
      <c r="C828" s="19" t="s">
        <v>12</v>
      </c>
      <c r="D828" s="5" t="s">
        <v>421</v>
      </c>
      <c r="E828" s="6">
        <v>367212.81780347001</v>
      </c>
      <c r="F828" s="6">
        <v>6548423.0059280004</v>
      </c>
      <c r="G828" s="7" t="str">
        <f>HYPERLINK("https://minkarta.lantmateriet.se/?e=367212,81780347&amp;n=6548423,005928&amp;z=12&amp;profile=flygbildmedgranser&amp;background=2&amp;boundaries=true","Visa")</f>
        <v>Visa</v>
      </c>
      <c r="H828" s="5" t="s">
        <v>8</v>
      </c>
      <c r="I828" s="8">
        <v>39.680929999999996</v>
      </c>
      <c r="J828" s="9">
        <v>53.102429999999998</v>
      </c>
      <c r="K828" s="9">
        <v>54.556399999999996</v>
      </c>
      <c r="L828" s="14">
        <v>40.630920000000003</v>
      </c>
      <c r="M828" s="9">
        <v>53.601930000000003</v>
      </c>
      <c r="N828" s="9">
        <v>57.072589999999998</v>
      </c>
      <c r="O828" s="14">
        <v>41.261069999999997</v>
      </c>
      <c r="P828" s="9">
        <v>54.586750000000002</v>
      </c>
      <c r="Q828" s="9">
        <v>57.441319999999997</v>
      </c>
      <c r="R828" s="23">
        <v>34.064480000000003</v>
      </c>
      <c r="S828" s="8">
        <v>0.63014999999999999</v>
      </c>
      <c r="T828" s="9">
        <v>0.98482000000000003</v>
      </c>
      <c r="U828" s="24">
        <v>0.36873</v>
      </c>
    </row>
    <row r="829" spans="1:21" ht="12" customHeight="1" x14ac:dyDescent="0.25">
      <c r="A829" s="5">
        <v>2185</v>
      </c>
      <c r="B829" s="19" t="s">
        <v>420</v>
      </c>
      <c r="C829" s="19" t="s">
        <v>12</v>
      </c>
      <c r="D829" s="5" t="s">
        <v>421</v>
      </c>
      <c r="E829" s="6">
        <v>367213.42707396002</v>
      </c>
      <c r="F829" s="6">
        <v>6548426.1623050999</v>
      </c>
      <c r="G829" s="7" t="str">
        <f>HYPERLINK("https://minkarta.lantmateriet.se/?e=367213,42707396&amp;n=6548426,1623051&amp;z=12&amp;profile=flygbildmedgranser&amp;background=2&amp;boundaries=true","Visa")</f>
        <v>Visa</v>
      </c>
      <c r="H829" s="5" t="s">
        <v>9</v>
      </c>
      <c r="I829" s="8">
        <v>36.405760000000001</v>
      </c>
      <c r="J829" s="9">
        <v>37.711559999999999</v>
      </c>
      <c r="K829" s="9">
        <v>39.240139999999997</v>
      </c>
      <c r="L829" s="14">
        <v>37.345019999999998</v>
      </c>
      <c r="M829" s="9">
        <v>38.14067</v>
      </c>
      <c r="N829" s="9">
        <v>40.875619999999998</v>
      </c>
      <c r="O829" s="14">
        <v>37.594009999999997</v>
      </c>
      <c r="P829" s="9">
        <v>38.389780000000002</v>
      </c>
      <c r="Q829" s="9">
        <v>41.244349999999997</v>
      </c>
      <c r="R829" s="23">
        <v>22.593430000000001</v>
      </c>
      <c r="S829" s="8">
        <v>0.24898999999999999</v>
      </c>
      <c r="T829" s="9">
        <v>0.24911</v>
      </c>
      <c r="U829" s="24">
        <v>0.36873</v>
      </c>
    </row>
    <row r="830" spans="1:21" ht="12" customHeight="1" x14ac:dyDescent="0.25">
      <c r="A830" s="5">
        <v>2186</v>
      </c>
      <c r="B830" s="19" t="s">
        <v>422</v>
      </c>
      <c r="C830" s="19" t="s">
        <v>12</v>
      </c>
      <c r="D830" s="5" t="s">
        <v>423</v>
      </c>
      <c r="E830" s="6">
        <v>367226.45275841001</v>
      </c>
      <c r="F830" s="6">
        <v>6548442.2308614999</v>
      </c>
      <c r="G830" s="7" t="str">
        <f>HYPERLINK("https://minkarta.lantmateriet.se/?e=367226,45275841&amp;n=6548442,2308615&amp;z=12&amp;profile=flygbildmedgranser&amp;background=2&amp;boundaries=true","Visa")</f>
        <v>Visa</v>
      </c>
      <c r="H830" s="5" t="s">
        <v>8</v>
      </c>
      <c r="I830" s="8">
        <v>38.791080000000001</v>
      </c>
      <c r="J830" s="9">
        <v>49.86544</v>
      </c>
      <c r="K830" s="9">
        <v>51.319400000000002</v>
      </c>
      <c r="L830" s="14">
        <v>39.732559999999999</v>
      </c>
      <c r="M830" s="9">
        <v>50.364939999999997</v>
      </c>
      <c r="N830" s="9">
        <v>53.835590000000003</v>
      </c>
      <c r="O830" s="14">
        <v>40.220770000000002</v>
      </c>
      <c r="P830" s="9">
        <v>51.34975</v>
      </c>
      <c r="Q830" s="9">
        <v>54.204329999999999</v>
      </c>
      <c r="R830" s="23">
        <v>32.601739999999999</v>
      </c>
      <c r="S830" s="8">
        <v>0.48820999999999998</v>
      </c>
      <c r="T830" s="9">
        <v>0.98480999999999996</v>
      </c>
      <c r="U830" s="24">
        <v>0.36874000000000001</v>
      </c>
    </row>
    <row r="831" spans="1:21" ht="12" customHeight="1" x14ac:dyDescent="0.25">
      <c r="A831" s="5">
        <v>2187</v>
      </c>
      <c r="B831" s="19" t="s">
        <v>422</v>
      </c>
      <c r="C831" s="19" t="s">
        <v>12</v>
      </c>
      <c r="D831" s="5" t="s">
        <v>423</v>
      </c>
      <c r="E831" s="6">
        <v>367224.36764249997</v>
      </c>
      <c r="F831" s="6">
        <v>6548449.0732586998</v>
      </c>
      <c r="G831" s="7" t="str">
        <f>HYPERLINK("https://minkarta.lantmateriet.se/?e=367224,3676425&amp;n=6548449,0732587&amp;z=12&amp;profile=flygbildmedgranser&amp;background=2&amp;boundaries=true","Visa")</f>
        <v>Visa</v>
      </c>
      <c r="H831" s="5" t="s">
        <v>9</v>
      </c>
      <c r="I831" s="8">
        <v>35.954349999999998</v>
      </c>
      <c r="J831" s="9">
        <v>42.072580000000002</v>
      </c>
      <c r="K831" s="9">
        <v>43.526539999999997</v>
      </c>
      <c r="L831" s="14">
        <v>36.888069999999999</v>
      </c>
      <c r="M831" s="9">
        <v>42.572069999999997</v>
      </c>
      <c r="N831" s="9">
        <v>46.042729999999999</v>
      </c>
      <c r="O831" s="14">
        <v>37.181170000000002</v>
      </c>
      <c r="P831" s="9">
        <v>43.556890000000003</v>
      </c>
      <c r="Q831" s="9">
        <v>46.411470000000001</v>
      </c>
      <c r="R831" s="23">
        <v>25.829889999999999</v>
      </c>
      <c r="S831" s="8">
        <v>0.29310000000000003</v>
      </c>
      <c r="T831" s="9">
        <v>0.98482000000000003</v>
      </c>
      <c r="U831" s="24">
        <v>0.36874000000000001</v>
      </c>
    </row>
    <row r="832" spans="1:21" ht="12" customHeight="1" x14ac:dyDescent="0.25">
      <c r="A832" s="5">
        <v>2188</v>
      </c>
      <c r="B832" s="19" t="s">
        <v>422</v>
      </c>
      <c r="C832" s="19" t="s">
        <v>12</v>
      </c>
      <c r="D832" s="5" t="s">
        <v>423</v>
      </c>
      <c r="E832" s="6">
        <v>367217.23574375</v>
      </c>
      <c r="F832" s="6">
        <v>6548448.5276426999</v>
      </c>
      <c r="G832" s="7" t="str">
        <f>HYPERLINK("https://minkarta.lantmateriet.se/?e=367217,23574375&amp;n=6548448,5276427&amp;z=12&amp;profile=flygbildmedgranser&amp;background=2&amp;boundaries=true","Visa")</f>
        <v>Visa</v>
      </c>
      <c r="H832" s="5" t="s">
        <v>10</v>
      </c>
      <c r="I832" s="8">
        <v>41.801659999999998</v>
      </c>
      <c r="J832" s="9">
        <v>55.149590000000003</v>
      </c>
      <c r="K832" s="9">
        <v>56.603549999999998</v>
      </c>
      <c r="L832" s="14">
        <v>42.762300000000003</v>
      </c>
      <c r="M832" s="9">
        <v>55.649079999999998</v>
      </c>
      <c r="N832" s="9">
        <v>59.11974</v>
      </c>
      <c r="O832" s="14">
        <v>43.394089999999998</v>
      </c>
      <c r="P832" s="9">
        <v>56.633899999999997</v>
      </c>
      <c r="Q832" s="9">
        <v>59.488480000000003</v>
      </c>
      <c r="R832" s="23">
        <v>36.97401</v>
      </c>
      <c r="S832" s="8">
        <v>0.63178999999999996</v>
      </c>
      <c r="T832" s="9">
        <v>0.98482000000000003</v>
      </c>
      <c r="U832" s="24">
        <v>0.36874000000000001</v>
      </c>
    </row>
    <row r="833" spans="1:21" ht="12" customHeight="1" x14ac:dyDescent="0.25">
      <c r="A833" s="5">
        <v>2189</v>
      </c>
      <c r="B833" s="19" t="s">
        <v>422</v>
      </c>
      <c r="C833" s="19" t="s">
        <v>12</v>
      </c>
      <c r="D833" s="5" t="s">
        <v>423</v>
      </c>
      <c r="E833" s="6">
        <v>367219.32086053002</v>
      </c>
      <c r="F833" s="6">
        <v>6548441.6852446003</v>
      </c>
      <c r="G833" s="7" t="str">
        <f>HYPERLINK("https://minkarta.lantmateriet.se/?e=367219,32086053&amp;n=6548441,6852446&amp;z=12&amp;profile=flygbildmedgranser&amp;background=2&amp;boundaries=true","Visa")</f>
        <v>Visa</v>
      </c>
      <c r="H833" s="5" t="s">
        <v>11</v>
      </c>
      <c r="I833" s="8">
        <v>40.497250000000001</v>
      </c>
      <c r="J833" s="9">
        <v>52.679859999999998</v>
      </c>
      <c r="K833" s="9">
        <v>54.13382</v>
      </c>
      <c r="L833" s="14">
        <v>41.444479999999999</v>
      </c>
      <c r="M833" s="9">
        <v>53.179349999999999</v>
      </c>
      <c r="N833" s="9">
        <v>56.650010000000002</v>
      </c>
      <c r="O833" s="14">
        <v>42.105699999999999</v>
      </c>
      <c r="P833" s="9">
        <v>54.164169999999999</v>
      </c>
      <c r="Q833" s="9">
        <v>57.018749999999997</v>
      </c>
      <c r="R833" s="23">
        <v>36.8491</v>
      </c>
      <c r="S833" s="8">
        <v>0.66122000000000003</v>
      </c>
      <c r="T833" s="9">
        <v>0.98482000000000003</v>
      </c>
      <c r="U833" s="24">
        <v>0.36874000000000001</v>
      </c>
    </row>
    <row r="834" spans="1:21" ht="12" customHeight="1" x14ac:dyDescent="0.25">
      <c r="A834" s="5">
        <v>2190</v>
      </c>
      <c r="B834" s="19" t="s">
        <v>424</v>
      </c>
      <c r="C834" s="19" t="s">
        <v>12</v>
      </c>
      <c r="D834" s="5" t="s">
        <v>425</v>
      </c>
      <c r="E834" s="6">
        <v>367238.87830158003</v>
      </c>
      <c r="F834" s="6">
        <v>6548457.8794251997</v>
      </c>
      <c r="G834" s="7" t="str">
        <f>HYPERLINK("https://minkarta.lantmateriet.se/?e=367238,87830158&amp;n=6548457,8794252&amp;z=12&amp;profile=flygbildmedgranser&amp;background=2&amp;boundaries=true","Visa")</f>
        <v>Visa</v>
      </c>
      <c r="H834" s="5" t="s">
        <v>8</v>
      </c>
      <c r="I834" s="8">
        <v>37.469380000000001</v>
      </c>
      <c r="J834" s="9">
        <v>45.697040000000001</v>
      </c>
      <c r="K834" s="9">
        <v>47.151000000000003</v>
      </c>
      <c r="L834" s="14">
        <v>38.415770000000002</v>
      </c>
      <c r="M834" s="9">
        <v>46.196530000000003</v>
      </c>
      <c r="N834" s="9">
        <v>49.667189999999998</v>
      </c>
      <c r="O834" s="14">
        <v>38.7044</v>
      </c>
      <c r="P834" s="9">
        <v>47.180289999999999</v>
      </c>
      <c r="Q834" s="9">
        <v>50.034869999999998</v>
      </c>
      <c r="R834" s="23">
        <v>22.897829999999999</v>
      </c>
      <c r="S834" s="8">
        <v>0.28863</v>
      </c>
      <c r="T834" s="9">
        <v>0.98375999999999997</v>
      </c>
      <c r="U834" s="24">
        <v>0.36768000000000001</v>
      </c>
    </row>
    <row r="835" spans="1:21" ht="12" customHeight="1" x14ac:dyDescent="0.25">
      <c r="A835" s="5">
        <v>2191</v>
      </c>
      <c r="B835" s="19" t="s">
        <v>424</v>
      </c>
      <c r="C835" s="19" t="s">
        <v>12</v>
      </c>
      <c r="D835" s="5" t="s">
        <v>425</v>
      </c>
      <c r="E835" s="6">
        <v>367236.79907723999</v>
      </c>
      <c r="F835" s="6">
        <v>6548464.6973029003</v>
      </c>
      <c r="G835" s="7" t="str">
        <f>HYPERLINK("https://minkarta.lantmateriet.se/?e=367236,79907724&amp;n=6548464,6973029&amp;z=12&amp;profile=flygbildmedgranser&amp;background=2&amp;boundaries=true","Visa")</f>
        <v>Visa</v>
      </c>
      <c r="H835" s="5" t="s">
        <v>9</v>
      </c>
      <c r="I835" s="8">
        <v>34.44688</v>
      </c>
      <c r="J835" s="9">
        <v>36.775959999999998</v>
      </c>
      <c r="K835" s="9">
        <v>38.22992</v>
      </c>
      <c r="L835" s="14">
        <v>35.377850000000002</v>
      </c>
      <c r="M835" s="9">
        <v>37.275449999999999</v>
      </c>
      <c r="N835" s="9">
        <v>40.746110000000002</v>
      </c>
      <c r="O835" s="14">
        <v>35.653889999999997</v>
      </c>
      <c r="P835" s="9">
        <v>38.159579999999998</v>
      </c>
      <c r="Q835" s="9">
        <v>41.014150000000001</v>
      </c>
      <c r="R835" s="23">
        <v>27.30941</v>
      </c>
      <c r="S835" s="8">
        <v>0.27604000000000001</v>
      </c>
      <c r="T835" s="9">
        <v>0.88412999999999997</v>
      </c>
      <c r="U835" s="24">
        <v>0.26804</v>
      </c>
    </row>
    <row r="836" spans="1:21" ht="12" customHeight="1" x14ac:dyDescent="0.25">
      <c r="A836" s="5">
        <v>2192</v>
      </c>
      <c r="B836" s="19" t="s">
        <v>424</v>
      </c>
      <c r="C836" s="19" t="s">
        <v>12</v>
      </c>
      <c r="D836" s="5" t="s">
        <v>425</v>
      </c>
      <c r="E836" s="6">
        <v>367229.70120060001</v>
      </c>
      <c r="F836" s="6">
        <v>6548464.0455790004</v>
      </c>
      <c r="G836" s="7" t="str">
        <f>HYPERLINK("https://minkarta.lantmateriet.se/?e=367229,7012006&amp;n=6548464,045579&amp;z=12&amp;profile=flygbildmedgranser&amp;background=2&amp;boundaries=true","Visa")</f>
        <v>Visa</v>
      </c>
      <c r="H836" s="5" t="s">
        <v>10</v>
      </c>
      <c r="I836" s="8">
        <v>38.253790000000002</v>
      </c>
      <c r="J836" s="9">
        <v>51.678609999999999</v>
      </c>
      <c r="K836" s="9">
        <v>53.132570000000001</v>
      </c>
      <c r="L836" s="14">
        <v>39.202219999999997</v>
      </c>
      <c r="M836" s="9">
        <v>52.178100000000001</v>
      </c>
      <c r="N836" s="9">
        <v>55.648760000000003</v>
      </c>
      <c r="O836" s="14">
        <v>39.65484</v>
      </c>
      <c r="P836" s="9">
        <v>53.16292</v>
      </c>
      <c r="Q836" s="9">
        <v>56.017499999999998</v>
      </c>
      <c r="R836" s="23">
        <v>35.844830000000002</v>
      </c>
      <c r="S836" s="8">
        <v>0.45262000000000002</v>
      </c>
      <c r="T836" s="9">
        <v>0.98482000000000003</v>
      </c>
      <c r="U836" s="24">
        <v>0.36874000000000001</v>
      </c>
    </row>
    <row r="837" spans="1:21" ht="12" customHeight="1" x14ac:dyDescent="0.25">
      <c r="A837" s="5">
        <v>2193</v>
      </c>
      <c r="B837" s="19" t="s">
        <v>424</v>
      </c>
      <c r="C837" s="19" t="s">
        <v>12</v>
      </c>
      <c r="D837" s="5" t="s">
        <v>425</v>
      </c>
      <c r="E837" s="6">
        <v>367231.78042308998</v>
      </c>
      <c r="F837" s="6">
        <v>6548457.2277022004</v>
      </c>
      <c r="G837" s="7" t="str">
        <f>HYPERLINK("https://minkarta.lantmateriet.se/?e=367231,78042309&amp;n=6548457,2277022&amp;z=12&amp;profile=flygbildmedgranser&amp;background=2&amp;boundaries=true","Visa")</f>
        <v>Visa</v>
      </c>
      <c r="H837" s="5" t="s">
        <v>11</v>
      </c>
      <c r="I837" s="8">
        <v>36.25759</v>
      </c>
      <c r="J837" s="9">
        <v>39.836959999999998</v>
      </c>
      <c r="K837" s="9">
        <v>41.29092</v>
      </c>
      <c r="L837" s="14">
        <v>37.195099999999996</v>
      </c>
      <c r="M837" s="9">
        <v>40.336449999999999</v>
      </c>
      <c r="N837" s="9">
        <v>43.807110000000002</v>
      </c>
      <c r="O837" s="14">
        <v>37.715159999999997</v>
      </c>
      <c r="P837" s="9">
        <v>41.321269999999998</v>
      </c>
      <c r="Q837" s="9">
        <v>44.175849999999997</v>
      </c>
      <c r="R837" s="23">
        <v>36.916029999999999</v>
      </c>
      <c r="S837" s="8">
        <v>0.52005999999999997</v>
      </c>
      <c r="T837" s="9">
        <v>0.98482000000000003</v>
      </c>
      <c r="U837" s="24">
        <v>0.36874000000000001</v>
      </c>
    </row>
    <row r="838" spans="1:21" ht="12" customHeight="1" x14ac:dyDescent="0.25">
      <c r="A838" s="5">
        <v>2194</v>
      </c>
      <c r="B838" s="19" t="s">
        <v>426</v>
      </c>
      <c r="C838" s="19" t="s">
        <v>12</v>
      </c>
      <c r="D838" s="5" t="s">
        <v>427</v>
      </c>
      <c r="E838" s="6">
        <v>367254.25414943998</v>
      </c>
      <c r="F838" s="6">
        <v>6548476.2224816</v>
      </c>
      <c r="G838" s="7" t="str">
        <f>HYPERLINK("https://minkarta.lantmateriet.se/?e=367254,25414944&amp;n=6548476,2224816&amp;z=12&amp;profile=flygbildmedgranser&amp;background=2&amp;boundaries=true","Visa")</f>
        <v>Visa</v>
      </c>
      <c r="H838" s="5" t="s">
        <v>8</v>
      </c>
      <c r="I838" s="8">
        <v>34.800939999999997</v>
      </c>
      <c r="J838" s="9">
        <v>38.426250000000003</v>
      </c>
      <c r="K838" s="9">
        <v>39.880209999999998</v>
      </c>
      <c r="L838" s="14">
        <v>35.733759999999997</v>
      </c>
      <c r="M838" s="9">
        <v>38.710979999999999</v>
      </c>
      <c r="N838" s="9">
        <v>42.181640000000002</v>
      </c>
      <c r="O838" s="14">
        <v>36.041699999999999</v>
      </c>
      <c r="P838" s="9">
        <v>39.91057</v>
      </c>
      <c r="Q838" s="9">
        <v>42.765140000000002</v>
      </c>
      <c r="R838" s="23">
        <v>25.54419</v>
      </c>
      <c r="S838" s="8">
        <v>0.30793999999999999</v>
      </c>
      <c r="T838" s="9">
        <v>1.1995899999999999</v>
      </c>
      <c r="U838" s="24">
        <v>0.58350000000000002</v>
      </c>
    </row>
    <row r="839" spans="1:21" ht="12" customHeight="1" x14ac:dyDescent="0.25">
      <c r="A839" s="5">
        <v>2195</v>
      </c>
      <c r="B839" s="19" t="s">
        <v>426</v>
      </c>
      <c r="C839" s="19" t="s">
        <v>12</v>
      </c>
      <c r="D839" s="5" t="s">
        <v>427</v>
      </c>
      <c r="E839" s="6">
        <v>367253.13352191</v>
      </c>
      <c r="F839" s="6">
        <v>6548483.4661501003</v>
      </c>
      <c r="G839" s="7" t="str">
        <f>HYPERLINK("https://minkarta.lantmateriet.se/?e=367253,13352191&amp;n=6548483,4661501&amp;z=12&amp;profile=flygbildmedgranser&amp;background=2&amp;boundaries=true","Visa")</f>
        <v>Visa</v>
      </c>
      <c r="H839" s="5" t="s">
        <v>9</v>
      </c>
      <c r="I839" s="8">
        <v>33.918379999999999</v>
      </c>
      <c r="J839" s="9">
        <v>34.086129999999997</v>
      </c>
      <c r="K839" s="9">
        <v>35.654879999999999</v>
      </c>
      <c r="L839" s="14">
        <v>34.860210000000002</v>
      </c>
      <c r="M839" s="9">
        <v>34.542659999999998</v>
      </c>
      <c r="N839" s="9">
        <v>37.922280000000001</v>
      </c>
      <c r="O839" s="14">
        <v>35.221789999999999</v>
      </c>
      <c r="P839" s="9">
        <v>35.436439999999997</v>
      </c>
      <c r="Q839" s="9">
        <v>38.291020000000003</v>
      </c>
      <c r="R839" s="23">
        <v>33.165730000000003</v>
      </c>
      <c r="S839" s="8">
        <v>0.36158000000000001</v>
      </c>
      <c r="T839" s="9">
        <v>0.89378000000000002</v>
      </c>
      <c r="U839" s="24">
        <v>0.36874000000000001</v>
      </c>
    </row>
    <row r="840" spans="1:21" ht="12" customHeight="1" x14ac:dyDescent="0.25">
      <c r="A840" s="5">
        <v>2196</v>
      </c>
      <c r="B840" s="19" t="s">
        <v>426</v>
      </c>
      <c r="C840" s="19" t="s">
        <v>12</v>
      </c>
      <c r="D840" s="5" t="s">
        <v>427</v>
      </c>
      <c r="E840" s="6">
        <v>367246.28785256</v>
      </c>
      <c r="F840" s="6">
        <v>6548480.8475224003</v>
      </c>
      <c r="G840" s="7" t="str">
        <f>HYPERLINK("https://minkarta.lantmateriet.se/?e=367246,28785256&amp;n=6548480,8475224&amp;z=12&amp;profile=flygbildmedgranser&amp;background=2&amp;boundaries=true","Visa")</f>
        <v>Visa</v>
      </c>
      <c r="H840" s="5" t="s">
        <v>10</v>
      </c>
      <c r="I840" s="8">
        <v>35.418219999999998</v>
      </c>
      <c r="J840" s="9">
        <v>43.029510000000002</v>
      </c>
      <c r="K840" s="9">
        <v>44.483469999999997</v>
      </c>
      <c r="L840" s="14">
        <v>36.348849999999999</v>
      </c>
      <c r="M840" s="9">
        <v>43.529000000000003</v>
      </c>
      <c r="N840" s="9">
        <v>46.999659999999999</v>
      </c>
      <c r="O840" s="14">
        <v>36.785429999999998</v>
      </c>
      <c r="P840" s="9">
        <v>44.513820000000003</v>
      </c>
      <c r="Q840" s="9">
        <v>47.368400000000001</v>
      </c>
      <c r="R840" s="23">
        <v>37.994750000000003</v>
      </c>
      <c r="S840" s="8">
        <v>0.43658000000000002</v>
      </c>
      <c r="T840" s="9">
        <v>0.98482000000000003</v>
      </c>
      <c r="U840" s="24">
        <v>0.36874000000000001</v>
      </c>
    </row>
    <row r="841" spans="1:21" ht="12" customHeight="1" x14ac:dyDescent="0.25">
      <c r="A841" s="5">
        <v>2197</v>
      </c>
      <c r="B841" s="19" t="s">
        <v>426</v>
      </c>
      <c r="C841" s="19" t="s">
        <v>12</v>
      </c>
      <c r="D841" s="5" t="s">
        <v>427</v>
      </c>
      <c r="E841" s="6">
        <v>367247.40848008997</v>
      </c>
      <c r="F841" s="6">
        <v>6548473.6038538003</v>
      </c>
      <c r="G841" s="7" t="str">
        <f>HYPERLINK("https://minkarta.lantmateriet.se/?e=367247,40848009&amp;n=6548473,6038538&amp;z=12&amp;profile=flygbildmedgranser&amp;background=2&amp;boundaries=true","Visa")</f>
        <v>Visa</v>
      </c>
      <c r="H841" s="5" t="s">
        <v>11</v>
      </c>
      <c r="I841" s="8">
        <v>35.97692</v>
      </c>
      <c r="J841" s="9">
        <v>41.655430000000003</v>
      </c>
      <c r="K841" s="9">
        <v>43.109389999999998</v>
      </c>
      <c r="L841" s="14">
        <v>36.90681</v>
      </c>
      <c r="M841" s="9">
        <v>42.15493</v>
      </c>
      <c r="N841" s="9">
        <v>45.625579999999999</v>
      </c>
      <c r="O841" s="14">
        <v>37.581719999999997</v>
      </c>
      <c r="P841" s="9">
        <v>43.139740000000003</v>
      </c>
      <c r="Q841" s="9">
        <v>45.994320000000002</v>
      </c>
      <c r="R841" s="23">
        <v>39.480719999999998</v>
      </c>
      <c r="S841" s="8">
        <v>0.67491000000000001</v>
      </c>
      <c r="T841" s="9">
        <v>0.98480999999999996</v>
      </c>
      <c r="U841" s="24">
        <v>0.36874000000000001</v>
      </c>
    </row>
    <row r="842" spans="1:21" ht="12" customHeight="1" x14ac:dyDescent="0.25">
      <c r="A842" s="5">
        <v>2198</v>
      </c>
      <c r="B842" s="19" t="s">
        <v>428</v>
      </c>
      <c r="C842" s="19" t="s">
        <v>12</v>
      </c>
      <c r="D842" s="5" t="s">
        <v>429</v>
      </c>
      <c r="E842" s="6">
        <v>367269.58793553</v>
      </c>
      <c r="F842" s="6">
        <v>6548470.0718799001</v>
      </c>
      <c r="G842" s="7" t="str">
        <f>HYPERLINK("https://minkarta.lantmateriet.se/?e=367269,58793553&amp;n=6548470,0718799&amp;z=12&amp;profile=flygbildmedgranser&amp;background=2&amp;boundaries=true","Visa")</f>
        <v>Visa</v>
      </c>
      <c r="H842" s="5" t="s">
        <v>11</v>
      </c>
      <c r="I842" s="8">
        <v>37.303629999999998</v>
      </c>
      <c r="J842" s="9">
        <v>42.20514</v>
      </c>
      <c r="K842" s="9">
        <v>43.659100000000002</v>
      </c>
      <c r="L842" s="14">
        <v>38.240310000000001</v>
      </c>
      <c r="M842" s="9">
        <v>42.704630000000002</v>
      </c>
      <c r="N842" s="9">
        <v>46.175289999999997</v>
      </c>
      <c r="O842" s="14">
        <v>38.608330000000002</v>
      </c>
      <c r="P842" s="9">
        <v>43.690539999999999</v>
      </c>
      <c r="Q842" s="9">
        <v>46.545110000000001</v>
      </c>
      <c r="R842" s="23">
        <v>34.772320000000001</v>
      </c>
      <c r="S842" s="8">
        <v>0.36802000000000001</v>
      </c>
      <c r="T842" s="9">
        <v>0.98590999999999995</v>
      </c>
      <c r="U842" s="24">
        <v>0.36981999999999998</v>
      </c>
    </row>
    <row r="843" spans="1:21" ht="12" customHeight="1" x14ac:dyDescent="0.25">
      <c r="A843" s="5">
        <v>2199</v>
      </c>
      <c r="B843" s="19" t="s">
        <v>428</v>
      </c>
      <c r="C843" s="19" t="s">
        <v>12</v>
      </c>
      <c r="D843" s="5" t="s">
        <v>429</v>
      </c>
      <c r="E843" s="6">
        <v>367276.44612332003</v>
      </c>
      <c r="F843" s="6">
        <v>6548472.5149368998</v>
      </c>
      <c r="G843" s="7" t="str">
        <f>HYPERLINK("https://minkarta.lantmateriet.se/?e=367276,44612332&amp;n=6548472,5149369&amp;z=12&amp;profile=flygbildmedgranser&amp;background=2&amp;boundaries=true","Visa")</f>
        <v>Visa</v>
      </c>
      <c r="H843" s="5" t="s">
        <v>8</v>
      </c>
      <c r="I843" s="8">
        <v>34.012140000000002</v>
      </c>
      <c r="J843" s="9">
        <v>38.9621</v>
      </c>
      <c r="K843" s="9">
        <v>40.416069999999998</v>
      </c>
      <c r="L843" s="14">
        <v>34.961239999999997</v>
      </c>
      <c r="M843" s="9">
        <v>39.461599999999997</v>
      </c>
      <c r="N843" s="9">
        <v>42.932259999999999</v>
      </c>
      <c r="O843" s="14">
        <v>35.272060000000003</v>
      </c>
      <c r="P843" s="9">
        <v>40.446420000000003</v>
      </c>
      <c r="Q843" s="9">
        <v>43.300989999999999</v>
      </c>
      <c r="R843" s="23">
        <v>21.03379</v>
      </c>
      <c r="S843" s="8">
        <v>0.31081999999999999</v>
      </c>
      <c r="T843" s="9">
        <v>0.98482000000000003</v>
      </c>
      <c r="U843" s="24">
        <v>0.36873</v>
      </c>
    </row>
    <row r="844" spans="1:21" ht="12" customHeight="1" x14ac:dyDescent="0.25">
      <c r="A844" s="5">
        <v>2200</v>
      </c>
      <c r="B844" s="19" t="s">
        <v>428</v>
      </c>
      <c r="C844" s="19" t="s">
        <v>12</v>
      </c>
      <c r="D844" s="5" t="s">
        <v>429</v>
      </c>
      <c r="E844" s="6">
        <v>367275.24156613997</v>
      </c>
      <c r="F844" s="6">
        <v>6548479.6946243001</v>
      </c>
      <c r="G844" s="7" t="str">
        <f>HYPERLINK("https://minkarta.lantmateriet.se/?e=367275,24156614&amp;n=6548479,6946243&amp;z=12&amp;profile=flygbildmedgranser&amp;background=2&amp;boundaries=true","Visa")</f>
        <v>Visa</v>
      </c>
      <c r="H844" s="5" t="s">
        <v>9</v>
      </c>
      <c r="I844" s="8">
        <v>33.213630000000002</v>
      </c>
      <c r="J844" s="9">
        <v>33.518149999999999</v>
      </c>
      <c r="K844" s="9">
        <v>34.972110000000001</v>
      </c>
      <c r="L844" s="14">
        <v>34.143070000000002</v>
      </c>
      <c r="M844" s="9">
        <v>34.01764</v>
      </c>
      <c r="N844" s="9">
        <v>37.488300000000002</v>
      </c>
      <c r="O844" s="14">
        <v>34.530430000000003</v>
      </c>
      <c r="P844" s="9">
        <v>35.002459999999999</v>
      </c>
      <c r="Q844" s="9">
        <v>37.857039999999998</v>
      </c>
      <c r="R844" s="23">
        <v>33.110819999999997</v>
      </c>
      <c r="S844" s="8">
        <v>0.38735999999999998</v>
      </c>
      <c r="T844" s="9">
        <v>0.98482000000000003</v>
      </c>
      <c r="U844" s="24">
        <v>0.36874000000000001</v>
      </c>
    </row>
    <row r="845" spans="1:21" ht="12" customHeight="1" x14ac:dyDescent="0.25">
      <c r="A845" s="5">
        <v>2201</v>
      </c>
      <c r="B845" s="19" t="s">
        <v>428</v>
      </c>
      <c r="C845" s="19" t="s">
        <v>12</v>
      </c>
      <c r="D845" s="5" t="s">
        <v>429</v>
      </c>
      <c r="E845" s="6">
        <v>367268.38337931002</v>
      </c>
      <c r="F845" s="6">
        <v>6548477.2515682001</v>
      </c>
      <c r="G845" s="7" t="str">
        <f>HYPERLINK("https://minkarta.lantmateriet.se/?e=367268,38337931&amp;n=6548477,2515682&amp;z=12&amp;profile=flygbildmedgranser&amp;background=2&amp;boundaries=true","Visa")</f>
        <v>Visa</v>
      </c>
      <c r="H845" s="5" t="s">
        <v>10</v>
      </c>
      <c r="I845" s="8">
        <v>36.669519999999999</v>
      </c>
      <c r="J845" s="9">
        <v>40.701140000000002</v>
      </c>
      <c r="K845" s="9">
        <v>42.155099999999997</v>
      </c>
      <c r="L845" s="14">
        <v>37.609299999999998</v>
      </c>
      <c r="M845" s="9">
        <v>41.200629999999997</v>
      </c>
      <c r="N845" s="9">
        <v>44.671289999999999</v>
      </c>
      <c r="O845" s="14">
        <v>37.974870000000003</v>
      </c>
      <c r="P845" s="9">
        <v>42.185450000000003</v>
      </c>
      <c r="Q845" s="9">
        <v>45.040030000000002</v>
      </c>
      <c r="R845" s="23">
        <v>37.183509999999998</v>
      </c>
      <c r="S845" s="8">
        <v>0.36557000000000001</v>
      </c>
      <c r="T845" s="9">
        <v>0.98482000000000003</v>
      </c>
      <c r="U845" s="24">
        <v>0.36874000000000001</v>
      </c>
    </row>
    <row r="846" spans="1:21" ht="12" customHeight="1" x14ac:dyDescent="0.25">
      <c r="A846" s="5">
        <v>2202</v>
      </c>
      <c r="B846" s="19" t="s">
        <v>430</v>
      </c>
      <c r="C846" s="19" t="s">
        <v>254</v>
      </c>
      <c r="D846" s="5" t="s">
        <v>431</v>
      </c>
      <c r="E846" s="6">
        <v>367264.01511894999</v>
      </c>
      <c r="F846" s="6">
        <v>6548445.0274294</v>
      </c>
      <c r="G846" s="7" t="str">
        <f>HYPERLINK("https://minkarta.lantmateriet.se/?e=367264,01511895&amp;n=6548445,0274294&amp;z=12&amp;profile=flygbildmedgranser&amp;background=2&amp;boundaries=true","Visa")</f>
        <v>Visa</v>
      </c>
      <c r="H846" s="5" t="s">
        <v>8</v>
      </c>
      <c r="I846" s="8">
        <v>36.632190000000001</v>
      </c>
      <c r="J846" s="9">
        <v>40.770429999999998</v>
      </c>
      <c r="K846" s="9">
        <v>42.224400000000003</v>
      </c>
      <c r="L846" s="14">
        <v>37.570030000000003</v>
      </c>
      <c r="M846" s="9">
        <v>41.269930000000002</v>
      </c>
      <c r="N846" s="9">
        <v>44.740589999999997</v>
      </c>
      <c r="O846" s="14">
        <v>37.763039999999997</v>
      </c>
      <c r="P846" s="9">
        <v>42.254750000000001</v>
      </c>
      <c r="Q846" s="9">
        <v>45.109319999999997</v>
      </c>
      <c r="R846" s="23">
        <v>24.318460000000002</v>
      </c>
      <c r="S846" s="8">
        <v>0.19300999999999999</v>
      </c>
      <c r="T846" s="9">
        <v>0.98482000000000003</v>
      </c>
      <c r="U846" s="24">
        <v>0.36873</v>
      </c>
    </row>
    <row r="847" spans="1:21" ht="12" customHeight="1" x14ac:dyDescent="0.25">
      <c r="A847" s="5">
        <v>2203</v>
      </c>
      <c r="B847" s="19" t="s">
        <v>430</v>
      </c>
      <c r="C847" s="19" t="s">
        <v>254</v>
      </c>
      <c r="D847" s="5" t="s">
        <v>431</v>
      </c>
      <c r="E847" s="6">
        <v>367262.92507305997</v>
      </c>
      <c r="F847" s="6">
        <v>6548452.2261202997</v>
      </c>
      <c r="G847" s="7" t="str">
        <f>HYPERLINK("https://minkarta.lantmateriet.se/?e=367262,92507306&amp;n=6548452,2261203&amp;z=12&amp;profile=flygbildmedgranser&amp;background=2&amp;boundaries=true","Visa")</f>
        <v>Visa</v>
      </c>
      <c r="H847" s="5" t="s">
        <v>9</v>
      </c>
      <c r="I847" s="8">
        <v>35.975929999999998</v>
      </c>
      <c r="J847" s="9">
        <v>39.27234</v>
      </c>
      <c r="K847" s="9">
        <v>40.726300000000002</v>
      </c>
      <c r="L847" s="14">
        <v>36.913969999999999</v>
      </c>
      <c r="M847" s="9">
        <v>39.771839999999997</v>
      </c>
      <c r="N847" s="9">
        <v>43.242489999999997</v>
      </c>
      <c r="O847" s="14">
        <v>37.186300000000003</v>
      </c>
      <c r="P847" s="9">
        <v>40.75665</v>
      </c>
      <c r="Q847" s="9">
        <v>43.611229999999999</v>
      </c>
      <c r="R847" s="23">
        <v>33.340670000000003</v>
      </c>
      <c r="S847" s="8">
        <v>0.27233000000000002</v>
      </c>
      <c r="T847" s="9">
        <v>0.98480999999999996</v>
      </c>
      <c r="U847" s="24">
        <v>0.36874000000000001</v>
      </c>
    </row>
    <row r="848" spans="1:21" ht="12" customHeight="1" x14ac:dyDescent="0.25">
      <c r="A848" s="5">
        <v>2204</v>
      </c>
      <c r="B848" s="19" t="s">
        <v>430</v>
      </c>
      <c r="C848" s="19" t="s">
        <v>254</v>
      </c>
      <c r="D848" s="5" t="s">
        <v>431</v>
      </c>
      <c r="E848" s="6">
        <v>367256.10188327997</v>
      </c>
      <c r="F848" s="6">
        <v>6548449.6850749003</v>
      </c>
      <c r="G848" s="7" t="str">
        <f>HYPERLINK("https://minkarta.lantmateriet.se/?e=367256,10188328&amp;n=6548449,6850749&amp;z=12&amp;profile=flygbildmedgranser&amp;background=2&amp;boundaries=true","Visa")</f>
        <v>Visa</v>
      </c>
      <c r="H848" s="5" t="s">
        <v>10</v>
      </c>
      <c r="I848" s="8">
        <v>39.062269999999998</v>
      </c>
      <c r="J848" s="9">
        <v>45.94032</v>
      </c>
      <c r="K848" s="9">
        <v>47.394289999999998</v>
      </c>
      <c r="L848" s="14">
        <v>39.999960000000002</v>
      </c>
      <c r="M848" s="9">
        <v>46.439819999999997</v>
      </c>
      <c r="N848" s="9">
        <v>49.91048</v>
      </c>
      <c r="O848" s="14">
        <v>40.357259999999997</v>
      </c>
      <c r="P848" s="9">
        <v>47.424639999999997</v>
      </c>
      <c r="Q848" s="9">
        <v>50.279209999999999</v>
      </c>
      <c r="R848" s="23">
        <v>36.555979999999998</v>
      </c>
      <c r="S848" s="8">
        <v>0.35730000000000001</v>
      </c>
      <c r="T848" s="9">
        <v>0.98482000000000003</v>
      </c>
      <c r="U848" s="24">
        <v>0.36873</v>
      </c>
    </row>
    <row r="849" spans="1:21" ht="12" customHeight="1" x14ac:dyDescent="0.25">
      <c r="A849" s="5">
        <v>2208</v>
      </c>
      <c r="B849" s="19" t="s">
        <v>432</v>
      </c>
      <c r="C849" s="19" t="s">
        <v>254</v>
      </c>
      <c r="D849" s="5" t="s">
        <v>433</v>
      </c>
      <c r="E849" s="6">
        <v>367276.95738633</v>
      </c>
      <c r="F849" s="6">
        <v>6548437.4315801002</v>
      </c>
      <c r="G849" s="7" t="str">
        <f>HYPERLINK("https://minkarta.lantmateriet.se/?e=367276,95738633&amp;n=6548437,4315801&amp;z=12&amp;profile=flygbildmedgranser&amp;background=2&amp;boundaries=true","Visa")</f>
        <v>Visa</v>
      </c>
      <c r="H849" s="5" t="s">
        <v>10</v>
      </c>
      <c r="I849" s="8">
        <v>36.581479999999999</v>
      </c>
      <c r="J849" s="9">
        <v>39.08175</v>
      </c>
      <c r="K849" s="9">
        <v>40.610329999999998</v>
      </c>
      <c r="L849" s="14">
        <v>37.514229999999998</v>
      </c>
      <c r="M849" s="9">
        <v>39.510860000000001</v>
      </c>
      <c r="N849" s="9">
        <v>41.128819999999997</v>
      </c>
      <c r="O849" s="14">
        <v>37.706180000000003</v>
      </c>
      <c r="P849" s="9">
        <v>39.53931</v>
      </c>
      <c r="Q849" s="9">
        <v>41.158140000000003</v>
      </c>
      <c r="R849" s="23">
        <v>26.04167</v>
      </c>
      <c r="S849" s="8">
        <v>0.19195000000000001</v>
      </c>
      <c r="T849" s="9">
        <v>2.845E-2</v>
      </c>
      <c r="U849" s="24">
        <v>2.9319999999999999E-2</v>
      </c>
    </row>
    <row r="850" spans="1:21" ht="12" customHeight="1" x14ac:dyDescent="0.25">
      <c r="A850" s="5">
        <v>2209</v>
      </c>
      <c r="B850" s="19" t="s">
        <v>432</v>
      </c>
      <c r="C850" s="19" t="s">
        <v>254</v>
      </c>
      <c r="D850" s="5" t="s">
        <v>433</v>
      </c>
      <c r="E850" s="6">
        <v>367278.04042276001</v>
      </c>
      <c r="F850" s="6">
        <v>6548430.2643873999</v>
      </c>
      <c r="G850" s="7" t="str">
        <f>HYPERLINK("https://minkarta.lantmateriet.se/?e=367278,04042276&amp;n=6548430,2643874&amp;z=12&amp;profile=flygbildmedgranser&amp;background=2&amp;boundaries=true","Visa")</f>
        <v>Visa</v>
      </c>
      <c r="H850" s="5" t="s">
        <v>11</v>
      </c>
      <c r="I850" s="8">
        <v>38.602049999999998</v>
      </c>
      <c r="J850" s="9">
        <v>50.62135</v>
      </c>
      <c r="K850" s="9">
        <v>52.075310000000002</v>
      </c>
      <c r="L850" s="14">
        <v>39.531109999999998</v>
      </c>
      <c r="M850" s="9">
        <v>51.120840000000001</v>
      </c>
      <c r="N850" s="9">
        <v>54.591500000000003</v>
      </c>
      <c r="O850" s="14">
        <v>39.99221</v>
      </c>
      <c r="P850" s="9">
        <v>52.10566</v>
      </c>
      <c r="Q850" s="9">
        <v>54.960239999999999</v>
      </c>
      <c r="R850" s="23">
        <v>29.795839999999998</v>
      </c>
      <c r="S850" s="8">
        <v>0.46110000000000001</v>
      </c>
      <c r="T850" s="9">
        <v>0.98482000000000003</v>
      </c>
      <c r="U850" s="24">
        <v>0.36874000000000001</v>
      </c>
    </row>
    <row r="851" spans="1:21" ht="12" customHeight="1" x14ac:dyDescent="0.25">
      <c r="A851" s="5">
        <v>2284</v>
      </c>
      <c r="B851" s="19" t="s">
        <v>434</v>
      </c>
      <c r="C851" s="19" t="s">
        <v>12</v>
      </c>
      <c r="D851" s="5" t="s">
        <v>435</v>
      </c>
      <c r="E851" s="6">
        <v>366985.7192847</v>
      </c>
      <c r="F851" s="6">
        <v>6548297.2917221999</v>
      </c>
      <c r="G851" s="7" t="str">
        <f>HYPERLINK("https://minkarta.lantmateriet.se/?e=366985,7192847&amp;n=6548297,2917222&amp;z=12&amp;profile=flygbildmedgranser&amp;background=2&amp;boundaries=true","Visa")</f>
        <v>Visa</v>
      </c>
      <c r="H851" s="5" t="s">
        <v>8</v>
      </c>
      <c r="I851" s="8">
        <v>38.039619999999999</v>
      </c>
      <c r="J851" s="9">
        <v>42.494149999999998</v>
      </c>
      <c r="K851" s="9">
        <v>44.022730000000003</v>
      </c>
      <c r="L851" s="14">
        <v>38.978760000000001</v>
      </c>
      <c r="M851" s="9">
        <v>42.923250000000003</v>
      </c>
      <c r="N851" s="9">
        <v>44.541220000000003</v>
      </c>
      <c r="O851" s="14">
        <v>39.389240000000001</v>
      </c>
      <c r="P851" s="9">
        <v>42.951709999999999</v>
      </c>
      <c r="Q851" s="9">
        <v>44.625799999999998</v>
      </c>
      <c r="R851" s="23">
        <v>36.987810000000003</v>
      </c>
      <c r="S851" s="8">
        <v>0.41048000000000001</v>
      </c>
      <c r="T851" s="9">
        <v>2.8459999999999999E-2</v>
      </c>
      <c r="U851" s="24">
        <v>8.4580000000000002E-2</v>
      </c>
    </row>
    <row r="852" spans="1:21" ht="12" customHeight="1" x14ac:dyDescent="0.25">
      <c r="A852" s="5">
        <v>2285</v>
      </c>
      <c r="B852" s="19" t="s">
        <v>434</v>
      </c>
      <c r="C852" s="19" t="s">
        <v>12</v>
      </c>
      <c r="D852" s="5" t="s">
        <v>435</v>
      </c>
      <c r="E852" s="6">
        <v>366983.49478051998</v>
      </c>
      <c r="F852" s="6">
        <v>6548303.3187859003</v>
      </c>
      <c r="G852" s="7" t="str">
        <f>HYPERLINK("https://minkarta.lantmateriet.se/?e=366983,49478052&amp;n=6548303,3187859&amp;z=12&amp;profile=flygbildmedgranser&amp;background=2&amp;boundaries=true","Visa")</f>
        <v>Visa</v>
      </c>
      <c r="H852" s="5" t="s">
        <v>9</v>
      </c>
      <c r="I852" s="8">
        <v>37.475099999999998</v>
      </c>
      <c r="J852" s="9">
        <v>42.92801</v>
      </c>
      <c r="K852" s="9">
        <v>44.381970000000003</v>
      </c>
      <c r="L852" s="14">
        <v>38.411239999999999</v>
      </c>
      <c r="M852" s="9">
        <v>43.427509999999998</v>
      </c>
      <c r="N852" s="9">
        <v>46.898159999999997</v>
      </c>
      <c r="O852" s="14">
        <v>39.017769999999999</v>
      </c>
      <c r="P852" s="9">
        <v>45.54598</v>
      </c>
      <c r="Q852" s="9">
        <v>47.2669</v>
      </c>
      <c r="R852" s="23">
        <v>41.052280000000003</v>
      </c>
      <c r="S852" s="8">
        <v>0.60653000000000001</v>
      </c>
      <c r="T852" s="9">
        <v>2.1184699999999999</v>
      </c>
      <c r="U852" s="24">
        <v>0.36874000000000001</v>
      </c>
    </row>
    <row r="853" spans="1:21" ht="12" customHeight="1" x14ac:dyDescent="0.25">
      <c r="A853" s="5">
        <v>2286</v>
      </c>
      <c r="B853" s="19" t="s">
        <v>434</v>
      </c>
      <c r="C853" s="19" t="s">
        <v>12</v>
      </c>
      <c r="D853" s="5" t="s">
        <v>435</v>
      </c>
      <c r="E853" s="6">
        <v>366977.22521778999</v>
      </c>
      <c r="F853" s="6">
        <v>6548301.9132826999</v>
      </c>
      <c r="G853" s="7" t="str">
        <f>HYPERLINK("https://minkarta.lantmateriet.se/?e=366977,22521779&amp;n=6548301,9132827&amp;z=12&amp;profile=flygbildmedgranser&amp;background=2&amp;boundaries=true","Visa")</f>
        <v>Visa</v>
      </c>
      <c r="H853" s="5" t="s">
        <v>10</v>
      </c>
      <c r="I853" s="8">
        <v>41.844580000000001</v>
      </c>
      <c r="J853" s="9">
        <v>49.62</v>
      </c>
      <c r="K853" s="9">
        <v>51.148589999999999</v>
      </c>
      <c r="L853" s="14">
        <v>42.769170000000003</v>
      </c>
      <c r="M853" s="9">
        <v>50.049109999999999</v>
      </c>
      <c r="N853" s="9">
        <v>51.667079999999999</v>
      </c>
      <c r="O853" s="14">
        <v>43.00526</v>
      </c>
      <c r="P853" s="9">
        <v>50.077559999999998</v>
      </c>
      <c r="Q853" s="9">
        <v>51.696399999999997</v>
      </c>
      <c r="R853" s="23">
        <v>39.215319999999998</v>
      </c>
      <c r="S853" s="8">
        <v>0.23608999999999999</v>
      </c>
      <c r="T853" s="9">
        <v>2.845E-2</v>
      </c>
      <c r="U853" s="24">
        <v>2.9319999999999999E-2</v>
      </c>
    </row>
    <row r="854" spans="1:21" ht="12" customHeight="1" x14ac:dyDescent="0.25">
      <c r="A854" s="5">
        <v>2287</v>
      </c>
      <c r="B854" s="19" t="s">
        <v>434</v>
      </c>
      <c r="C854" s="19" t="s">
        <v>12</v>
      </c>
      <c r="D854" s="5" t="s">
        <v>435</v>
      </c>
      <c r="E854" s="6">
        <v>366979.44972192001</v>
      </c>
      <c r="F854" s="6">
        <v>6548295.8862178996</v>
      </c>
      <c r="G854" s="7" t="str">
        <f>HYPERLINK("https://minkarta.lantmateriet.se/?e=366979,44972192&amp;n=6548295,8862179&amp;z=12&amp;profile=flygbildmedgranser&amp;background=2&amp;boundaries=true","Visa")</f>
        <v>Visa</v>
      </c>
      <c r="H854" s="5" t="s">
        <v>11</v>
      </c>
      <c r="I854" s="8">
        <v>40.943379999999998</v>
      </c>
      <c r="J854" s="9">
        <v>47.669690000000003</v>
      </c>
      <c r="K854" s="9">
        <v>49.198270000000001</v>
      </c>
      <c r="L854" s="14">
        <v>41.862549999999999</v>
      </c>
      <c r="M854" s="9">
        <v>48.098799999999997</v>
      </c>
      <c r="N854" s="9">
        <v>49.716760000000001</v>
      </c>
      <c r="O854" s="14">
        <v>42.010550000000002</v>
      </c>
      <c r="P854" s="9">
        <v>48.127249999999997</v>
      </c>
      <c r="Q854" s="9">
        <v>49.746079999999999</v>
      </c>
      <c r="R854" s="23">
        <v>41.623860000000001</v>
      </c>
      <c r="S854" s="8">
        <v>0.14799999999999999</v>
      </c>
      <c r="T854" s="9">
        <v>2.845E-2</v>
      </c>
      <c r="U854" s="24">
        <v>2.9319999999999999E-2</v>
      </c>
    </row>
    <row r="855" spans="1:21" ht="12" customHeight="1" x14ac:dyDescent="0.25">
      <c r="A855" s="5">
        <v>2288</v>
      </c>
      <c r="B855" s="19" t="s">
        <v>436</v>
      </c>
      <c r="C855" s="19" t="s">
        <v>12</v>
      </c>
      <c r="D855" s="5" t="s">
        <v>437</v>
      </c>
      <c r="E855" s="6">
        <v>366979.02428726997</v>
      </c>
      <c r="F855" s="6">
        <v>6548280.4412268996</v>
      </c>
      <c r="G855" s="7" t="str">
        <f>HYPERLINK("https://minkarta.lantmateriet.se/?e=366979,02428727&amp;n=6548280,4412269&amp;z=12&amp;profile=flygbildmedgranser&amp;background=2&amp;boundaries=true","Visa")</f>
        <v>Visa</v>
      </c>
      <c r="H855" s="5" t="s">
        <v>8</v>
      </c>
      <c r="I855" s="8">
        <v>43.065040000000003</v>
      </c>
      <c r="J855" s="9">
        <v>49.960799999999999</v>
      </c>
      <c r="K855" s="9">
        <v>51.489379999999997</v>
      </c>
      <c r="L855" s="14">
        <v>44.010669999999998</v>
      </c>
      <c r="M855" s="9">
        <v>50.389899999999997</v>
      </c>
      <c r="N855" s="9">
        <v>52.007869999999997</v>
      </c>
      <c r="O855" s="14">
        <v>44.12679</v>
      </c>
      <c r="P855" s="9">
        <v>50.418349999999997</v>
      </c>
      <c r="Q855" s="9">
        <v>52.037190000000002</v>
      </c>
      <c r="R855" s="23">
        <v>31.275179999999999</v>
      </c>
      <c r="S855" s="8">
        <v>0.11612</v>
      </c>
      <c r="T855" s="9">
        <v>2.845E-2</v>
      </c>
      <c r="U855" s="24">
        <v>2.9319999999999999E-2</v>
      </c>
    </row>
    <row r="856" spans="1:21" ht="12" customHeight="1" x14ac:dyDescent="0.25">
      <c r="A856" s="5">
        <v>2289</v>
      </c>
      <c r="B856" s="19" t="s">
        <v>436</v>
      </c>
      <c r="C856" s="19" t="s">
        <v>12</v>
      </c>
      <c r="D856" s="5" t="s">
        <v>437</v>
      </c>
      <c r="E856" s="6">
        <v>366976.83477732999</v>
      </c>
      <c r="F856" s="6">
        <v>6548286.4257875998</v>
      </c>
      <c r="G856" s="7" t="str">
        <f>HYPERLINK("https://minkarta.lantmateriet.se/?e=366976,83477733&amp;n=6548286,4257876&amp;z=12&amp;profile=flygbildmedgranser&amp;background=2&amp;boundaries=true","Visa")</f>
        <v>Visa</v>
      </c>
      <c r="H856" s="5" t="s">
        <v>9</v>
      </c>
      <c r="I856" s="8">
        <v>40.41442</v>
      </c>
      <c r="J856" s="9">
        <v>46.871130000000001</v>
      </c>
      <c r="K856" s="9">
        <v>48.399709999999999</v>
      </c>
      <c r="L856" s="14">
        <v>41.340020000000003</v>
      </c>
      <c r="M856" s="9">
        <v>47.300240000000002</v>
      </c>
      <c r="N856" s="9">
        <v>48.918210000000002</v>
      </c>
      <c r="O856" s="14">
        <v>41.55068</v>
      </c>
      <c r="P856" s="9">
        <v>47.328690000000002</v>
      </c>
      <c r="Q856" s="9">
        <v>48.94753</v>
      </c>
      <c r="R856" s="23">
        <v>39.541350000000001</v>
      </c>
      <c r="S856" s="8">
        <v>0.21065999999999999</v>
      </c>
      <c r="T856" s="9">
        <v>2.845E-2</v>
      </c>
      <c r="U856" s="24">
        <v>2.9319999999999999E-2</v>
      </c>
    </row>
    <row r="857" spans="1:21" ht="12" customHeight="1" x14ac:dyDescent="0.25">
      <c r="A857" s="5">
        <v>2290</v>
      </c>
      <c r="B857" s="19" t="s">
        <v>436</v>
      </c>
      <c r="C857" s="19" t="s">
        <v>12</v>
      </c>
      <c r="D857" s="5" t="s">
        <v>437</v>
      </c>
      <c r="E857" s="6">
        <v>366970.62271446001</v>
      </c>
      <c r="F857" s="6">
        <v>6548285.0082766004</v>
      </c>
      <c r="G857" s="7" t="str">
        <f>HYPERLINK("https://minkarta.lantmateriet.se/?e=366970,62271446&amp;n=6548285,0082766&amp;z=12&amp;profile=flygbildmedgranser&amp;background=2&amp;boundaries=true","Visa")</f>
        <v>Visa</v>
      </c>
      <c r="H857" s="5" t="s">
        <v>10</v>
      </c>
      <c r="I857" s="8">
        <v>41.992449999999998</v>
      </c>
      <c r="J857" s="9">
        <v>51.288379999999997</v>
      </c>
      <c r="K857" s="9">
        <v>52.816960000000002</v>
      </c>
      <c r="L857" s="14">
        <v>42.91583</v>
      </c>
      <c r="M857" s="9">
        <v>51.717480000000002</v>
      </c>
      <c r="N857" s="9">
        <v>53.335450000000002</v>
      </c>
      <c r="O857" s="14">
        <v>43.119329999999998</v>
      </c>
      <c r="P857" s="9">
        <v>51.920670000000001</v>
      </c>
      <c r="Q857" s="9">
        <v>53.53951</v>
      </c>
      <c r="R857" s="23">
        <v>38.405320000000003</v>
      </c>
      <c r="S857" s="8">
        <v>0.20349999999999999</v>
      </c>
      <c r="T857" s="9">
        <v>0.20319000000000001</v>
      </c>
      <c r="U857" s="24">
        <v>0.20405999999999999</v>
      </c>
    </row>
    <row r="858" spans="1:21" ht="12" customHeight="1" x14ac:dyDescent="0.25">
      <c r="A858" s="5">
        <v>2291</v>
      </c>
      <c r="B858" s="19" t="s">
        <v>436</v>
      </c>
      <c r="C858" s="19" t="s">
        <v>12</v>
      </c>
      <c r="D858" s="5" t="s">
        <v>437</v>
      </c>
      <c r="E858" s="6">
        <v>366972.81222547998</v>
      </c>
      <c r="F858" s="6">
        <v>6548279.0237159999</v>
      </c>
      <c r="G858" s="7" t="str">
        <f>HYPERLINK("https://minkarta.lantmateriet.se/?e=366972,81222548&amp;n=6548279,023716&amp;z=12&amp;profile=flygbildmedgranser&amp;background=2&amp;boundaries=true","Visa")</f>
        <v>Visa</v>
      </c>
      <c r="H858" s="5" t="s">
        <v>11</v>
      </c>
      <c r="I858" s="8">
        <v>41.130839999999999</v>
      </c>
      <c r="J858" s="9">
        <v>44.76896</v>
      </c>
      <c r="K858" s="9">
        <v>46.297539999999998</v>
      </c>
      <c r="L858" s="14">
        <v>42.064030000000002</v>
      </c>
      <c r="M858" s="9">
        <v>45.198070000000001</v>
      </c>
      <c r="N858" s="9">
        <v>46.816029999999998</v>
      </c>
      <c r="O858" s="14">
        <v>42.292029999999997</v>
      </c>
      <c r="P858" s="9">
        <v>45.226520000000001</v>
      </c>
      <c r="Q858" s="9">
        <v>46.845350000000003</v>
      </c>
      <c r="R858" s="23">
        <v>41.106760000000001</v>
      </c>
      <c r="S858" s="8">
        <v>0.22800000000000001</v>
      </c>
      <c r="T858" s="9">
        <v>2.845E-2</v>
      </c>
      <c r="U858" s="24">
        <v>2.9319999999999999E-2</v>
      </c>
    </row>
    <row r="859" spans="1:21" ht="12" customHeight="1" x14ac:dyDescent="0.25">
      <c r="A859" s="5">
        <v>2292</v>
      </c>
      <c r="B859" s="19" t="s">
        <v>438</v>
      </c>
      <c r="C859" s="19" t="s">
        <v>12</v>
      </c>
      <c r="D859" s="5" t="s">
        <v>439</v>
      </c>
      <c r="E859" s="6">
        <v>366968.62977842003</v>
      </c>
      <c r="F859" s="6">
        <v>6548265.5377107002</v>
      </c>
      <c r="G859" s="7" t="str">
        <f>HYPERLINK("https://minkarta.lantmateriet.se/?e=366968,62977842&amp;n=6548265,5377107&amp;z=12&amp;profile=flygbildmedgranser&amp;background=2&amp;boundaries=true","Visa")</f>
        <v>Visa</v>
      </c>
      <c r="H859" s="5" t="s">
        <v>8</v>
      </c>
      <c r="I859" s="8">
        <v>42.240940000000002</v>
      </c>
      <c r="J859" s="9">
        <v>47.975659999999998</v>
      </c>
      <c r="K859" s="9">
        <v>49.504240000000003</v>
      </c>
      <c r="L859" s="14">
        <v>43.186929999999997</v>
      </c>
      <c r="M859" s="9">
        <v>48.404769999999999</v>
      </c>
      <c r="N859" s="9">
        <v>50.022730000000003</v>
      </c>
      <c r="O859" s="14">
        <v>43.328189999999999</v>
      </c>
      <c r="P859" s="9">
        <v>48.433219999999999</v>
      </c>
      <c r="Q859" s="9">
        <v>50.052050000000001</v>
      </c>
      <c r="R859" s="23">
        <v>37.83202</v>
      </c>
      <c r="S859" s="8">
        <v>0.14126</v>
      </c>
      <c r="T859" s="9">
        <v>2.845E-2</v>
      </c>
      <c r="U859" s="24">
        <v>2.9319999999999999E-2</v>
      </c>
    </row>
    <row r="860" spans="1:21" ht="12" customHeight="1" x14ac:dyDescent="0.25">
      <c r="A860" s="5">
        <v>2293</v>
      </c>
      <c r="B860" s="19" t="s">
        <v>438</v>
      </c>
      <c r="C860" s="19" t="s">
        <v>12</v>
      </c>
      <c r="D860" s="5" t="s">
        <v>439</v>
      </c>
      <c r="E860" s="6">
        <v>366966.42129345</v>
      </c>
      <c r="F860" s="6">
        <v>6548271.5727787996</v>
      </c>
      <c r="G860" s="7" t="str">
        <f>HYPERLINK("https://minkarta.lantmateriet.se/?e=366966,42129345&amp;n=6548271,5727788&amp;z=12&amp;profile=flygbildmedgranser&amp;background=2&amp;boundaries=true","Visa")</f>
        <v>Visa</v>
      </c>
      <c r="H860" s="5" t="s">
        <v>9</v>
      </c>
      <c r="I860" s="8">
        <v>40.656379999999999</v>
      </c>
      <c r="J860" s="9">
        <v>43.953209999999999</v>
      </c>
      <c r="K860" s="9">
        <v>45.407170000000001</v>
      </c>
      <c r="L860" s="14">
        <v>41.59037</v>
      </c>
      <c r="M860" s="9">
        <v>44.4527</v>
      </c>
      <c r="N860" s="9">
        <v>47.923360000000002</v>
      </c>
      <c r="O860" s="14">
        <v>41.774549999999998</v>
      </c>
      <c r="P860" s="9">
        <v>45.442920000000001</v>
      </c>
      <c r="Q860" s="9">
        <v>48.297499999999999</v>
      </c>
      <c r="R860" s="23">
        <v>38.842559999999999</v>
      </c>
      <c r="S860" s="8">
        <v>0.18418000000000001</v>
      </c>
      <c r="T860" s="9">
        <v>0.99021999999999999</v>
      </c>
      <c r="U860" s="24">
        <v>0.37413999999999997</v>
      </c>
    </row>
    <row r="861" spans="1:21" ht="12" customHeight="1" x14ac:dyDescent="0.25">
      <c r="A861" s="5">
        <v>2294</v>
      </c>
      <c r="B861" s="19" t="s">
        <v>438</v>
      </c>
      <c r="C861" s="19" t="s">
        <v>12</v>
      </c>
      <c r="D861" s="5" t="s">
        <v>439</v>
      </c>
      <c r="E861" s="6">
        <v>366960.15122330998</v>
      </c>
      <c r="F861" s="6">
        <v>6548270.1667927997</v>
      </c>
      <c r="G861" s="7" t="str">
        <f>HYPERLINK("https://minkarta.lantmateriet.se/?e=366960,15122331&amp;n=6548270,1667928&amp;z=12&amp;profile=flygbildmedgranser&amp;background=2&amp;boundaries=true","Visa")</f>
        <v>Visa</v>
      </c>
      <c r="H861" s="5" t="s">
        <v>10</v>
      </c>
      <c r="I861" s="8">
        <v>43.002090000000003</v>
      </c>
      <c r="J861" s="9">
        <v>53.309660000000001</v>
      </c>
      <c r="K861" s="9">
        <v>54.838239999999999</v>
      </c>
      <c r="L861" s="14">
        <v>43.925229999999999</v>
      </c>
      <c r="M861" s="9">
        <v>53.738770000000002</v>
      </c>
      <c r="N861" s="9">
        <v>55.356740000000002</v>
      </c>
      <c r="O861" s="14">
        <v>44.06438</v>
      </c>
      <c r="P861" s="9">
        <v>53.767220000000002</v>
      </c>
      <c r="Q861" s="9">
        <v>55.386049999999997</v>
      </c>
      <c r="R861" s="23">
        <v>38.379440000000002</v>
      </c>
      <c r="S861" s="8">
        <v>0.13915</v>
      </c>
      <c r="T861" s="9">
        <v>2.845E-2</v>
      </c>
      <c r="U861" s="24">
        <v>2.9309999999999999E-2</v>
      </c>
    </row>
    <row r="862" spans="1:21" ht="12" customHeight="1" x14ac:dyDescent="0.25">
      <c r="A862" s="5">
        <v>2295</v>
      </c>
      <c r="B862" s="19" t="s">
        <v>438</v>
      </c>
      <c r="C862" s="19" t="s">
        <v>12</v>
      </c>
      <c r="D862" s="5" t="s">
        <v>439</v>
      </c>
      <c r="E862" s="6">
        <v>366962.35970934998</v>
      </c>
      <c r="F862" s="6">
        <v>6548264.1317248</v>
      </c>
      <c r="G862" s="7" t="str">
        <f>HYPERLINK("https://minkarta.lantmateriet.se/?e=366962,35970935&amp;n=6548264,1317248&amp;z=12&amp;profile=flygbildmedgranser&amp;background=2&amp;boundaries=true","Visa")</f>
        <v>Visa</v>
      </c>
      <c r="H862" s="5" t="s">
        <v>11</v>
      </c>
      <c r="I862" s="8">
        <v>41.69782</v>
      </c>
      <c r="J862" s="9">
        <v>48.405700000000003</v>
      </c>
      <c r="K862" s="9">
        <v>49.934280000000001</v>
      </c>
      <c r="L862" s="14">
        <v>42.622779999999999</v>
      </c>
      <c r="M862" s="9">
        <v>48.834800000000001</v>
      </c>
      <c r="N862" s="9">
        <v>50.452770000000001</v>
      </c>
      <c r="O862" s="14">
        <v>42.802439999999997</v>
      </c>
      <c r="P862" s="9">
        <v>48.863250000000001</v>
      </c>
      <c r="Q862" s="9">
        <v>50.482089999999999</v>
      </c>
      <c r="R862" s="23">
        <v>39.719099999999997</v>
      </c>
      <c r="S862" s="8">
        <v>0.17965999999999999</v>
      </c>
      <c r="T862" s="9">
        <v>2.845E-2</v>
      </c>
      <c r="U862" s="24">
        <v>2.9319999999999999E-2</v>
      </c>
    </row>
    <row r="863" spans="1:21" ht="12" customHeight="1" x14ac:dyDescent="0.25">
      <c r="A863" s="5">
        <v>2296</v>
      </c>
      <c r="B863" s="19" t="s">
        <v>440</v>
      </c>
      <c r="C863" s="19" t="s">
        <v>12</v>
      </c>
      <c r="D863" s="5" t="s">
        <v>441</v>
      </c>
      <c r="E863" s="6">
        <v>366955.55974047998</v>
      </c>
      <c r="F863" s="6">
        <v>6548247.2702078</v>
      </c>
      <c r="G863" s="7" t="str">
        <f>HYPERLINK("https://minkarta.lantmateriet.se/?e=366955,55974048&amp;n=6548247,2702078&amp;z=12&amp;profile=flygbildmedgranser&amp;background=2&amp;boundaries=true","Visa")</f>
        <v>Visa</v>
      </c>
      <c r="H863" s="5" t="s">
        <v>11</v>
      </c>
      <c r="I863" s="8">
        <v>41.335380000000001</v>
      </c>
      <c r="J863" s="9">
        <v>46.296469999999999</v>
      </c>
      <c r="K863" s="9">
        <v>47.825049999999997</v>
      </c>
      <c r="L863" s="14">
        <v>42.267560000000003</v>
      </c>
      <c r="M863" s="9">
        <v>46.725580000000001</v>
      </c>
      <c r="N863" s="9">
        <v>48.343539999999997</v>
      </c>
      <c r="O863" s="14">
        <v>42.377859999999998</v>
      </c>
      <c r="P863" s="9">
        <v>46.754019999999997</v>
      </c>
      <c r="Q863" s="9">
        <v>48.372860000000003</v>
      </c>
      <c r="R863" s="23">
        <v>34.757429999999999</v>
      </c>
      <c r="S863" s="8">
        <v>0.1103</v>
      </c>
      <c r="T863" s="9">
        <v>2.844E-2</v>
      </c>
      <c r="U863" s="24">
        <v>2.9319999999999999E-2</v>
      </c>
    </row>
    <row r="864" spans="1:21" ht="12" customHeight="1" x14ac:dyDescent="0.25">
      <c r="A864" s="5">
        <v>2297</v>
      </c>
      <c r="B864" s="19" t="s">
        <v>440</v>
      </c>
      <c r="C864" s="19" t="s">
        <v>12</v>
      </c>
      <c r="D864" s="5" t="s">
        <v>441</v>
      </c>
      <c r="E864" s="6">
        <v>366961.80429504003</v>
      </c>
      <c r="F864" s="6">
        <v>6548248.6842411999</v>
      </c>
      <c r="G864" s="7" t="str">
        <f>HYPERLINK("https://minkarta.lantmateriet.se/?e=366961,80429504&amp;n=6548248,6842412&amp;z=12&amp;profile=flygbildmedgranser&amp;background=2&amp;boundaries=true","Visa")</f>
        <v>Visa</v>
      </c>
      <c r="H864" s="5" t="s">
        <v>8</v>
      </c>
      <c r="I864" s="8">
        <v>43.711770000000001</v>
      </c>
      <c r="J864" s="9">
        <v>50.703150000000001</v>
      </c>
      <c r="K864" s="9">
        <v>52.231729999999999</v>
      </c>
      <c r="L864" s="14">
        <v>44.661479999999997</v>
      </c>
      <c r="M864" s="9">
        <v>51.132260000000002</v>
      </c>
      <c r="N864" s="9">
        <v>52.750230000000002</v>
      </c>
      <c r="O864" s="14">
        <v>44.775480000000002</v>
      </c>
      <c r="P864" s="9">
        <v>51.160710000000002</v>
      </c>
      <c r="Q864" s="9">
        <v>52.779539999999997</v>
      </c>
      <c r="R864" s="23">
        <v>36.16778</v>
      </c>
      <c r="S864" s="8">
        <v>0.114</v>
      </c>
      <c r="T864" s="9">
        <v>2.845E-2</v>
      </c>
      <c r="U864" s="24">
        <v>2.9309999999999999E-2</v>
      </c>
    </row>
    <row r="865" spans="1:21" ht="12" customHeight="1" x14ac:dyDescent="0.25">
      <c r="A865" s="5">
        <v>2298</v>
      </c>
      <c r="B865" s="19" t="s">
        <v>440</v>
      </c>
      <c r="C865" s="19" t="s">
        <v>12</v>
      </c>
      <c r="D865" s="5" t="s">
        <v>441</v>
      </c>
      <c r="E865" s="6">
        <v>366959.57376107998</v>
      </c>
      <c r="F865" s="6">
        <v>6548254.6857963996</v>
      </c>
      <c r="G865" s="7" t="str">
        <f>HYPERLINK("https://minkarta.lantmateriet.se/?e=366959,57376108&amp;n=6548254,6857964&amp;z=12&amp;profile=flygbildmedgranser&amp;background=2&amp;boundaries=true","Visa")</f>
        <v>Visa</v>
      </c>
      <c r="H865" s="5" t="s">
        <v>9</v>
      </c>
      <c r="I865" s="8">
        <v>41.203899999999997</v>
      </c>
      <c r="J865" s="9">
        <v>48.813130000000001</v>
      </c>
      <c r="K865" s="9">
        <v>50.341709999999999</v>
      </c>
      <c r="L865" s="14">
        <v>42.126570000000001</v>
      </c>
      <c r="M865" s="9">
        <v>49.242240000000002</v>
      </c>
      <c r="N865" s="9">
        <v>50.860199999999999</v>
      </c>
      <c r="O865" s="14">
        <v>42.3812</v>
      </c>
      <c r="P865" s="9">
        <v>49.270679999999999</v>
      </c>
      <c r="Q865" s="9">
        <v>50.889519999999997</v>
      </c>
      <c r="R865" s="23">
        <v>41.534840000000003</v>
      </c>
      <c r="S865" s="8">
        <v>0.25463000000000002</v>
      </c>
      <c r="T865" s="9">
        <v>2.844E-2</v>
      </c>
      <c r="U865" s="24">
        <v>2.9319999999999999E-2</v>
      </c>
    </row>
    <row r="866" spans="1:21" ht="12" customHeight="1" x14ac:dyDescent="0.25">
      <c r="A866" s="5">
        <v>2299</v>
      </c>
      <c r="B866" s="19" t="s">
        <v>440</v>
      </c>
      <c r="C866" s="19" t="s">
        <v>12</v>
      </c>
      <c r="D866" s="5" t="s">
        <v>441</v>
      </c>
      <c r="E866" s="6">
        <v>366953.32920645998</v>
      </c>
      <c r="F866" s="6">
        <v>6548253.2717618002</v>
      </c>
      <c r="G866" s="7" t="str">
        <f>HYPERLINK("https://minkarta.lantmateriet.se/?e=366953,32920646&amp;n=6548253,2717618&amp;z=12&amp;profile=flygbildmedgranser&amp;background=2&amp;boundaries=true","Visa")</f>
        <v>Visa</v>
      </c>
      <c r="H866" s="5" t="s">
        <v>10</v>
      </c>
      <c r="I866" s="8">
        <v>42.68967</v>
      </c>
      <c r="J866" s="9">
        <v>52.361280000000001</v>
      </c>
      <c r="K866" s="9">
        <v>53.889859999999999</v>
      </c>
      <c r="L866" s="14">
        <v>43.611629999999998</v>
      </c>
      <c r="M866" s="9">
        <v>52.790390000000002</v>
      </c>
      <c r="N866" s="9">
        <v>54.408360000000002</v>
      </c>
      <c r="O866" s="14">
        <v>43.767879999999998</v>
      </c>
      <c r="P866" s="9">
        <v>52.818840000000002</v>
      </c>
      <c r="Q866" s="9">
        <v>54.43768</v>
      </c>
      <c r="R866" s="23">
        <v>38.167749999999998</v>
      </c>
      <c r="S866" s="8">
        <v>0.15625</v>
      </c>
      <c r="T866" s="9">
        <v>2.845E-2</v>
      </c>
      <c r="U866" s="24">
        <v>2.9319999999999999E-2</v>
      </c>
    </row>
    <row r="867" spans="1:21" ht="12" customHeight="1" x14ac:dyDescent="0.25">
      <c r="A867" s="5">
        <v>2300</v>
      </c>
      <c r="B867" s="19" t="s">
        <v>442</v>
      </c>
      <c r="C867" s="19" t="s">
        <v>12</v>
      </c>
      <c r="D867" s="5" t="s">
        <v>443</v>
      </c>
      <c r="E867" s="6">
        <v>366951.40228558</v>
      </c>
      <c r="F867" s="6">
        <v>6548233.8747238005</v>
      </c>
      <c r="G867" s="7" t="str">
        <f>HYPERLINK("https://minkarta.lantmateriet.se/?e=366951,40228558&amp;n=6548233,8747238&amp;z=12&amp;profile=flygbildmedgranser&amp;background=2&amp;boundaries=true","Visa")</f>
        <v>Visa</v>
      </c>
      <c r="H867" s="5" t="s">
        <v>8</v>
      </c>
      <c r="I867" s="8">
        <v>42.711080000000003</v>
      </c>
      <c r="J867" s="9">
        <v>49.967509999999997</v>
      </c>
      <c r="K867" s="9">
        <v>51.496090000000002</v>
      </c>
      <c r="L867" s="14">
        <v>43.661729999999999</v>
      </c>
      <c r="M867" s="9">
        <v>50.396619999999999</v>
      </c>
      <c r="N867" s="9">
        <v>52.014580000000002</v>
      </c>
      <c r="O867" s="14">
        <v>43.776910000000001</v>
      </c>
      <c r="P867" s="9">
        <v>50.425069999999998</v>
      </c>
      <c r="Q867" s="9">
        <v>52.043909999999997</v>
      </c>
      <c r="R867" s="23">
        <v>36.31306</v>
      </c>
      <c r="S867" s="8">
        <v>0.11518</v>
      </c>
      <c r="T867" s="9">
        <v>2.845E-2</v>
      </c>
      <c r="U867" s="24">
        <v>2.9329999999999998E-2</v>
      </c>
    </row>
    <row r="868" spans="1:21" ht="12" customHeight="1" x14ac:dyDescent="0.25">
      <c r="A868" s="5">
        <v>2301</v>
      </c>
      <c r="B868" s="19" t="s">
        <v>442</v>
      </c>
      <c r="C868" s="19" t="s">
        <v>12</v>
      </c>
      <c r="D868" s="5" t="s">
        <v>443</v>
      </c>
      <c r="E868" s="6">
        <v>366949.18078082002</v>
      </c>
      <c r="F868" s="6">
        <v>6548239.9257856999</v>
      </c>
      <c r="G868" s="7" t="str">
        <f>HYPERLINK("https://minkarta.lantmateriet.se/?e=366949,18078082&amp;n=6548239,9257857&amp;z=12&amp;profile=flygbildmedgranser&amp;background=2&amp;boundaries=true","Visa")</f>
        <v>Visa</v>
      </c>
      <c r="H868" s="5" t="s">
        <v>9</v>
      </c>
      <c r="I868" s="8">
        <v>40.781689999999998</v>
      </c>
      <c r="J868" s="9">
        <v>46.329030000000003</v>
      </c>
      <c r="K868" s="9">
        <v>47.857599999999998</v>
      </c>
      <c r="L868" s="14">
        <v>41.719090000000001</v>
      </c>
      <c r="M868" s="9">
        <v>46.758130000000001</v>
      </c>
      <c r="N868" s="9">
        <v>48.376100000000001</v>
      </c>
      <c r="O868" s="14">
        <v>41.94135</v>
      </c>
      <c r="P868" s="9">
        <v>46.786580000000001</v>
      </c>
      <c r="Q868" s="9">
        <v>48.405419999999999</v>
      </c>
      <c r="R868" s="23">
        <v>40.035409999999999</v>
      </c>
      <c r="S868" s="8">
        <v>0.22226000000000001</v>
      </c>
      <c r="T868" s="9">
        <v>2.845E-2</v>
      </c>
      <c r="U868" s="24">
        <v>2.9319999999999999E-2</v>
      </c>
    </row>
    <row r="869" spans="1:21" ht="12" customHeight="1" x14ac:dyDescent="0.25">
      <c r="A869" s="5">
        <v>2302</v>
      </c>
      <c r="B869" s="19" t="s">
        <v>442</v>
      </c>
      <c r="C869" s="19" t="s">
        <v>12</v>
      </c>
      <c r="D869" s="5" t="s">
        <v>443</v>
      </c>
      <c r="E869" s="6">
        <v>366942.89371740998</v>
      </c>
      <c r="F869" s="6">
        <v>6548238.5042819995</v>
      </c>
      <c r="G869" s="7" t="str">
        <f>HYPERLINK("https://minkarta.lantmateriet.se/?e=366942,89371741&amp;n=6548238,504282&amp;z=12&amp;profile=flygbildmedgranser&amp;background=2&amp;boundaries=true","Visa")</f>
        <v>Visa</v>
      </c>
      <c r="H869" s="5" t="s">
        <v>10</v>
      </c>
      <c r="I869" s="8">
        <v>42.053049999999999</v>
      </c>
      <c r="J869" s="9">
        <v>50.263660000000002</v>
      </c>
      <c r="K869" s="9">
        <v>51.79224</v>
      </c>
      <c r="L869" s="14">
        <v>42.975929999999998</v>
      </c>
      <c r="M869" s="9">
        <v>50.692770000000003</v>
      </c>
      <c r="N869" s="9">
        <v>52.310740000000003</v>
      </c>
      <c r="O869" s="14">
        <v>43.147329999999997</v>
      </c>
      <c r="P869" s="9">
        <v>50.721220000000002</v>
      </c>
      <c r="Q869" s="9">
        <v>52.340060000000001</v>
      </c>
      <c r="R869" s="23">
        <v>38.6783</v>
      </c>
      <c r="S869" s="8">
        <v>0.1714</v>
      </c>
      <c r="T869" s="9">
        <v>2.845E-2</v>
      </c>
      <c r="U869" s="24">
        <v>2.9319999999999999E-2</v>
      </c>
    </row>
    <row r="870" spans="1:21" ht="12" customHeight="1" x14ac:dyDescent="0.25">
      <c r="A870" s="5">
        <v>2303</v>
      </c>
      <c r="B870" s="19" t="s">
        <v>442</v>
      </c>
      <c r="C870" s="19" t="s">
        <v>12</v>
      </c>
      <c r="D870" s="5" t="s">
        <v>443</v>
      </c>
      <c r="E870" s="6">
        <v>366945.11522204999</v>
      </c>
      <c r="F870" s="6">
        <v>6548232.4532177998</v>
      </c>
      <c r="G870" s="7" t="str">
        <f>HYPERLINK("https://minkarta.lantmateriet.se/?e=366945,11522205&amp;n=6548232,4532178&amp;z=12&amp;profile=flygbildmedgranser&amp;background=2&amp;boundaries=true","Visa")</f>
        <v>Visa</v>
      </c>
      <c r="H870" s="5" t="s">
        <v>11</v>
      </c>
      <c r="I870" s="8">
        <v>42.674790000000002</v>
      </c>
      <c r="J870" s="9">
        <v>50.879040000000003</v>
      </c>
      <c r="K870" s="9">
        <v>52.407620000000001</v>
      </c>
      <c r="L870" s="14">
        <v>43.598480000000002</v>
      </c>
      <c r="M870" s="9">
        <v>51.308140000000002</v>
      </c>
      <c r="N870" s="9">
        <v>52.926110000000001</v>
      </c>
      <c r="O870" s="14">
        <v>43.7119</v>
      </c>
      <c r="P870" s="9">
        <v>51.336590000000001</v>
      </c>
      <c r="Q870" s="9">
        <v>52.95543</v>
      </c>
      <c r="R870" s="23">
        <v>38.672350000000002</v>
      </c>
      <c r="S870" s="8">
        <v>0.11342000000000001</v>
      </c>
      <c r="T870" s="9">
        <v>2.845E-2</v>
      </c>
      <c r="U870" s="24">
        <v>2.9319999999999999E-2</v>
      </c>
    </row>
    <row r="871" spans="1:21" ht="12" customHeight="1" x14ac:dyDescent="0.25">
      <c r="A871" s="5">
        <v>2304</v>
      </c>
      <c r="B871" s="19" t="s">
        <v>444</v>
      </c>
      <c r="C871" s="19" t="s">
        <v>12</v>
      </c>
      <c r="D871" s="5" t="s">
        <v>445</v>
      </c>
      <c r="E871" s="6">
        <v>366944.69128998998</v>
      </c>
      <c r="F871" s="6">
        <v>6548216.9437319003</v>
      </c>
      <c r="G871" s="7" t="str">
        <f>HYPERLINK("https://minkarta.lantmateriet.se/?e=366944,69128999&amp;n=6548216,9437319&amp;z=12&amp;profile=flygbildmedgranser&amp;background=2&amp;boundaries=true","Visa")</f>
        <v>Visa</v>
      </c>
      <c r="H871" s="5" t="s">
        <v>8</v>
      </c>
      <c r="I871" s="8">
        <v>44.858420000000002</v>
      </c>
      <c r="J871" s="9">
        <v>51.537669999999999</v>
      </c>
      <c r="K871" s="9">
        <v>53.066249999999997</v>
      </c>
      <c r="L871" s="14">
        <v>45.8018</v>
      </c>
      <c r="M871" s="9">
        <v>51.96678</v>
      </c>
      <c r="N871" s="9">
        <v>53.584739999999996</v>
      </c>
      <c r="O871" s="14">
        <v>45.901060000000001</v>
      </c>
      <c r="P871" s="9">
        <v>51.995220000000003</v>
      </c>
      <c r="Q871" s="9">
        <v>53.614060000000002</v>
      </c>
      <c r="R871" s="23">
        <v>35.045200000000001</v>
      </c>
      <c r="S871" s="8">
        <v>9.9260000000000001E-2</v>
      </c>
      <c r="T871" s="9">
        <v>2.844E-2</v>
      </c>
      <c r="U871" s="24">
        <v>2.9319999999999999E-2</v>
      </c>
    </row>
    <row r="872" spans="1:21" ht="12" customHeight="1" x14ac:dyDescent="0.25">
      <c r="A872" s="5">
        <v>2305</v>
      </c>
      <c r="B872" s="19" t="s">
        <v>444</v>
      </c>
      <c r="C872" s="19" t="s">
        <v>12</v>
      </c>
      <c r="D872" s="5" t="s">
        <v>445</v>
      </c>
      <c r="E872" s="6">
        <v>366942.46677057003</v>
      </c>
      <c r="F872" s="6">
        <v>6548222.9862912996</v>
      </c>
      <c r="G872" s="7" t="str">
        <f>HYPERLINK("https://minkarta.lantmateriet.se/?e=366942,46677057&amp;n=6548222,9862913&amp;z=12&amp;profile=flygbildmedgranser&amp;background=2&amp;boundaries=true","Visa")</f>
        <v>Visa</v>
      </c>
      <c r="H872" s="5" t="s">
        <v>9</v>
      </c>
      <c r="I872" s="8">
        <v>42.061770000000003</v>
      </c>
      <c r="J872" s="9">
        <v>49.8367</v>
      </c>
      <c r="K872" s="9">
        <v>51.365279999999998</v>
      </c>
      <c r="L872" s="14">
        <v>42.98274</v>
      </c>
      <c r="M872" s="9">
        <v>50.265810000000002</v>
      </c>
      <c r="N872" s="9">
        <v>51.883769999999998</v>
      </c>
      <c r="O872" s="14">
        <v>43.129269999999998</v>
      </c>
      <c r="P872" s="9">
        <v>50.294260000000001</v>
      </c>
      <c r="Q872" s="9">
        <v>51.913089999999997</v>
      </c>
      <c r="R872" s="23">
        <v>38.3446</v>
      </c>
      <c r="S872" s="8">
        <v>0.14652999999999999</v>
      </c>
      <c r="T872" s="9">
        <v>2.845E-2</v>
      </c>
      <c r="U872" s="24">
        <v>2.9319999999999999E-2</v>
      </c>
    </row>
    <row r="873" spans="1:21" ht="12" customHeight="1" x14ac:dyDescent="0.25">
      <c r="A873" s="5">
        <v>2306</v>
      </c>
      <c r="B873" s="19" t="s">
        <v>444</v>
      </c>
      <c r="C873" s="19" t="s">
        <v>12</v>
      </c>
      <c r="D873" s="5" t="s">
        <v>445</v>
      </c>
      <c r="E873" s="6">
        <v>366936.18771201</v>
      </c>
      <c r="F873" s="6">
        <v>6548221.5582721001</v>
      </c>
      <c r="G873" s="7" t="str">
        <f>HYPERLINK("https://minkarta.lantmateriet.se/?e=366936,18771201&amp;n=6548221,5582721&amp;z=12&amp;profile=flygbildmedgranser&amp;background=2&amp;boundaries=true","Visa")</f>
        <v>Visa</v>
      </c>
      <c r="H873" s="5" t="s">
        <v>10</v>
      </c>
      <c r="I873" s="8">
        <v>43.63729</v>
      </c>
      <c r="J873" s="9">
        <v>53.344259999999998</v>
      </c>
      <c r="K873" s="9">
        <v>54.872839999999997</v>
      </c>
      <c r="L873" s="14">
        <v>44.558430000000001</v>
      </c>
      <c r="M873" s="9">
        <v>53.77337</v>
      </c>
      <c r="N873" s="9">
        <v>55.391330000000004</v>
      </c>
      <c r="O873" s="14">
        <v>44.664180000000002</v>
      </c>
      <c r="P873" s="9">
        <v>53.602409999999999</v>
      </c>
      <c r="Q873" s="9">
        <v>55.221249999999998</v>
      </c>
      <c r="R873" s="23">
        <v>40.361229999999999</v>
      </c>
      <c r="S873" s="8">
        <v>0.10575</v>
      </c>
      <c r="T873" s="9">
        <v>-0.17096</v>
      </c>
      <c r="U873" s="24">
        <v>-0.17008000000000001</v>
      </c>
    </row>
    <row r="874" spans="1:21" ht="12" customHeight="1" x14ac:dyDescent="0.25">
      <c r="A874" s="5">
        <v>2307</v>
      </c>
      <c r="B874" s="19" t="s">
        <v>444</v>
      </c>
      <c r="C874" s="19" t="s">
        <v>12</v>
      </c>
      <c r="D874" s="5" t="s">
        <v>445</v>
      </c>
      <c r="E874" s="6">
        <v>366938.41223143</v>
      </c>
      <c r="F874" s="6">
        <v>6548215.5157126999</v>
      </c>
      <c r="G874" s="7" t="str">
        <f>HYPERLINK("https://minkarta.lantmateriet.se/?e=366938,41223143&amp;n=6548215,5157127&amp;z=12&amp;profile=flygbildmedgranser&amp;background=2&amp;boundaries=true","Visa")</f>
        <v>Visa</v>
      </c>
      <c r="H874" s="5" t="s">
        <v>11</v>
      </c>
      <c r="I874" s="8">
        <v>43.330350000000003</v>
      </c>
      <c r="J874" s="9">
        <v>51.967289999999998</v>
      </c>
      <c r="K874" s="9">
        <v>53.49586</v>
      </c>
      <c r="L874" s="14">
        <v>44.191459999999999</v>
      </c>
      <c r="M874" s="9">
        <v>52.396389999999997</v>
      </c>
      <c r="N874" s="9">
        <v>54.014360000000003</v>
      </c>
      <c r="O874" s="14">
        <v>44.260680000000001</v>
      </c>
      <c r="P874" s="9">
        <v>52.424840000000003</v>
      </c>
      <c r="Q874" s="9">
        <v>54.043680000000002</v>
      </c>
      <c r="R874" s="23">
        <v>37.501719999999999</v>
      </c>
      <c r="S874" s="8">
        <v>6.9220000000000004E-2</v>
      </c>
      <c r="T874" s="9">
        <v>2.845E-2</v>
      </c>
      <c r="U874" s="24">
        <v>2.9319999999999999E-2</v>
      </c>
    </row>
    <row r="875" spans="1:21" ht="12" customHeight="1" x14ac:dyDescent="0.25">
      <c r="A875" s="5">
        <v>2308</v>
      </c>
      <c r="B875" s="19" t="s">
        <v>446</v>
      </c>
      <c r="C875" s="19" t="s">
        <v>12</v>
      </c>
      <c r="D875" s="5" t="s">
        <v>447</v>
      </c>
      <c r="E875" s="6">
        <v>366928.0082106</v>
      </c>
      <c r="F875" s="6">
        <v>6548200.8082240997</v>
      </c>
      <c r="G875" s="7" t="str">
        <f>HYPERLINK("https://minkarta.lantmateriet.se/?e=366928,0082106&amp;n=6548200,8082241&amp;z=12&amp;profile=flygbildmedgranser&amp;background=2&amp;boundaries=true","Visa")</f>
        <v>Visa</v>
      </c>
      <c r="H875" s="5" t="s">
        <v>11</v>
      </c>
      <c r="I875" s="8">
        <v>47.095199999999998</v>
      </c>
      <c r="J875" s="9">
        <v>58.64264</v>
      </c>
      <c r="K875" s="9">
        <v>60.171219999999998</v>
      </c>
      <c r="L875" s="14">
        <v>48.015340000000002</v>
      </c>
      <c r="M875" s="9">
        <v>59.071750000000002</v>
      </c>
      <c r="N875" s="9">
        <v>60.689709999999998</v>
      </c>
      <c r="O875" s="14">
        <v>48.084919999999997</v>
      </c>
      <c r="P875" s="9">
        <v>59.100189999999998</v>
      </c>
      <c r="Q875" s="9">
        <v>60.719029999999997</v>
      </c>
      <c r="R875" s="23">
        <v>36.408430000000003</v>
      </c>
      <c r="S875" s="8">
        <v>6.9580000000000003E-2</v>
      </c>
      <c r="T875" s="9">
        <v>2.844E-2</v>
      </c>
      <c r="U875" s="24">
        <v>2.9319999999999999E-2</v>
      </c>
    </row>
    <row r="876" spans="1:21" ht="12" customHeight="1" x14ac:dyDescent="0.25">
      <c r="A876" s="5">
        <v>2309</v>
      </c>
      <c r="B876" s="19" t="s">
        <v>446</v>
      </c>
      <c r="C876" s="19" t="s">
        <v>12</v>
      </c>
      <c r="D876" s="5" t="s">
        <v>447</v>
      </c>
      <c r="E876" s="6">
        <v>366934.30027919001</v>
      </c>
      <c r="F876" s="6">
        <v>6548202.2032121001</v>
      </c>
      <c r="G876" s="7" t="str">
        <f>HYPERLINK("https://minkarta.lantmateriet.se/?e=366934,30027919&amp;n=6548202,2032121&amp;z=12&amp;profile=flygbildmedgranser&amp;background=2&amp;boundaries=true","Visa")</f>
        <v>Visa</v>
      </c>
      <c r="H876" s="5" t="s">
        <v>8</v>
      </c>
      <c r="I876" s="8">
        <v>44.592880000000001</v>
      </c>
      <c r="J876" s="9">
        <v>51.4405</v>
      </c>
      <c r="K876" s="9">
        <v>52.969079999999998</v>
      </c>
      <c r="L876" s="14">
        <v>45.53322</v>
      </c>
      <c r="M876" s="9">
        <v>52.005339999999997</v>
      </c>
      <c r="N876" s="9">
        <v>53.623309999999996</v>
      </c>
      <c r="O876" s="14">
        <v>45.64002</v>
      </c>
      <c r="P876" s="9">
        <v>51.898060000000001</v>
      </c>
      <c r="Q876" s="9">
        <v>53.516889999999997</v>
      </c>
      <c r="R876" s="23">
        <v>35.558250000000001</v>
      </c>
      <c r="S876" s="8">
        <v>0.10680000000000001</v>
      </c>
      <c r="T876" s="9">
        <v>-0.10728</v>
      </c>
      <c r="U876" s="24">
        <v>-0.10642</v>
      </c>
    </row>
    <row r="877" spans="1:21" ht="12" customHeight="1" x14ac:dyDescent="0.25">
      <c r="A877" s="5">
        <v>2310</v>
      </c>
      <c r="B877" s="19" t="s">
        <v>446</v>
      </c>
      <c r="C877" s="19" t="s">
        <v>12</v>
      </c>
      <c r="D877" s="5" t="s">
        <v>447</v>
      </c>
      <c r="E877" s="6">
        <v>366932.06879061001</v>
      </c>
      <c r="F877" s="6">
        <v>6548208.2492803996</v>
      </c>
      <c r="G877" s="7" t="str">
        <f>HYPERLINK("https://minkarta.lantmateriet.se/?e=366932,06879061&amp;n=6548208,2492804&amp;z=12&amp;profile=flygbildmedgranser&amp;background=2&amp;boundaries=true","Visa")</f>
        <v>Visa</v>
      </c>
      <c r="H877" s="5" t="s">
        <v>9</v>
      </c>
      <c r="I877" s="8">
        <v>41.580179999999999</v>
      </c>
      <c r="J877" s="9">
        <v>44.508240000000001</v>
      </c>
      <c r="K877" s="9">
        <v>46.036819999999999</v>
      </c>
      <c r="L877" s="14">
        <v>42.515810000000002</v>
      </c>
      <c r="M877" s="9">
        <v>44.937350000000002</v>
      </c>
      <c r="N877" s="9">
        <v>46.555309999999999</v>
      </c>
      <c r="O877" s="14">
        <v>42.638649999999998</v>
      </c>
      <c r="P877" s="9">
        <v>44.965800000000002</v>
      </c>
      <c r="Q877" s="9">
        <v>46.584629999999997</v>
      </c>
      <c r="R877" s="23">
        <v>39.720269999999999</v>
      </c>
      <c r="S877" s="8">
        <v>0.12284</v>
      </c>
      <c r="T877" s="9">
        <v>2.845E-2</v>
      </c>
      <c r="U877" s="24">
        <v>2.9319999999999999E-2</v>
      </c>
    </row>
    <row r="878" spans="1:21" ht="12" customHeight="1" x14ac:dyDescent="0.25">
      <c r="A878" s="5">
        <v>2311</v>
      </c>
      <c r="B878" s="19" t="s">
        <v>446</v>
      </c>
      <c r="C878" s="19" t="s">
        <v>12</v>
      </c>
      <c r="D878" s="5" t="s">
        <v>447</v>
      </c>
      <c r="E878" s="6">
        <v>366925.77672308002</v>
      </c>
      <c r="F878" s="6">
        <v>6548206.8542924002</v>
      </c>
      <c r="G878" s="7" t="str">
        <f>HYPERLINK("https://minkarta.lantmateriet.se/?e=366925,77672308&amp;n=6548206,8542924&amp;z=12&amp;profile=flygbildmedgranser&amp;background=2&amp;boundaries=true","Visa")</f>
        <v>Visa</v>
      </c>
      <c r="H878" s="5" t="s">
        <v>10</v>
      </c>
      <c r="I878" s="8">
        <v>45.084560000000003</v>
      </c>
      <c r="J878" s="9">
        <v>56.606850000000001</v>
      </c>
      <c r="K878" s="9">
        <v>58.135429999999999</v>
      </c>
      <c r="L878" s="14">
        <v>45.998829999999998</v>
      </c>
      <c r="M878" s="9">
        <v>57.035960000000003</v>
      </c>
      <c r="N878" s="9">
        <v>58.653919999999999</v>
      </c>
      <c r="O878" s="14">
        <v>46.127270000000003</v>
      </c>
      <c r="P878" s="9">
        <v>57.064410000000002</v>
      </c>
      <c r="Q878" s="9">
        <v>58.683239999999998</v>
      </c>
      <c r="R878" s="23">
        <v>41.269260000000003</v>
      </c>
      <c r="S878" s="8">
        <v>0.12844</v>
      </c>
      <c r="T878" s="9">
        <v>2.845E-2</v>
      </c>
      <c r="U878" s="24">
        <v>2.9319999999999999E-2</v>
      </c>
    </row>
    <row r="879" spans="1:21" ht="12" customHeight="1" x14ac:dyDescent="0.25">
      <c r="A879" s="5">
        <v>2312</v>
      </c>
      <c r="B879" s="19" t="s">
        <v>448</v>
      </c>
      <c r="C879" s="19" t="s">
        <v>12</v>
      </c>
      <c r="D879" s="5" t="s">
        <v>449</v>
      </c>
      <c r="E879" s="6">
        <v>366905.11678549001</v>
      </c>
      <c r="F879" s="6">
        <v>6548218.1012236997</v>
      </c>
      <c r="G879" s="7" t="str">
        <f>HYPERLINK("https://minkarta.lantmateriet.se/?e=366905,11678549&amp;n=6548218,1012237&amp;z=12&amp;profile=flygbildmedgranser&amp;background=2&amp;boundaries=true","Visa")</f>
        <v>Visa</v>
      </c>
      <c r="H879" s="5" t="s">
        <v>8</v>
      </c>
      <c r="I879" s="8">
        <v>46.436129999999999</v>
      </c>
      <c r="J879" s="9">
        <v>54.211300000000001</v>
      </c>
      <c r="K879" s="9">
        <v>55.739879999999999</v>
      </c>
      <c r="L879" s="14">
        <v>47.378749999999997</v>
      </c>
      <c r="M879" s="9">
        <v>54.640410000000003</v>
      </c>
      <c r="N879" s="9">
        <v>56.258369999999999</v>
      </c>
      <c r="O879" s="14">
        <v>47.462719999999997</v>
      </c>
      <c r="P879" s="9">
        <v>54.668860000000002</v>
      </c>
      <c r="Q879" s="9">
        <v>56.287689999999998</v>
      </c>
      <c r="R879" s="23">
        <v>34.160220000000002</v>
      </c>
      <c r="S879" s="8">
        <v>8.3970000000000003E-2</v>
      </c>
      <c r="T879" s="9">
        <v>2.845E-2</v>
      </c>
      <c r="U879" s="24">
        <v>2.9319999999999999E-2</v>
      </c>
    </row>
    <row r="880" spans="1:21" ht="12" customHeight="1" x14ac:dyDescent="0.25">
      <c r="A880" s="5">
        <v>2313</v>
      </c>
      <c r="B880" s="19" t="s">
        <v>448</v>
      </c>
      <c r="C880" s="19" t="s">
        <v>12</v>
      </c>
      <c r="D880" s="5" t="s">
        <v>449</v>
      </c>
      <c r="E880" s="6">
        <v>366902.90227909997</v>
      </c>
      <c r="F880" s="6">
        <v>6548224.1817865996</v>
      </c>
      <c r="G880" s="7" t="str">
        <f>HYPERLINK("https://minkarta.lantmateriet.se/?e=366902,9022791&amp;n=6548224,1817866&amp;z=12&amp;profile=flygbildmedgranser&amp;background=2&amp;boundaries=true","Visa")</f>
        <v>Visa</v>
      </c>
      <c r="H880" s="5" t="s">
        <v>9</v>
      </c>
      <c r="I880" s="8">
        <v>42.020589999999999</v>
      </c>
      <c r="J880" s="9">
        <v>46.928789999999999</v>
      </c>
      <c r="K880" s="9">
        <v>48.457369999999997</v>
      </c>
      <c r="L880" s="14">
        <v>42.956229999999998</v>
      </c>
      <c r="M880" s="9">
        <v>47.357900000000001</v>
      </c>
      <c r="N880" s="9">
        <v>48.975859999999997</v>
      </c>
      <c r="O880" s="14">
        <v>43.129959999999997</v>
      </c>
      <c r="P880" s="9">
        <v>47.38635</v>
      </c>
      <c r="Q880" s="9">
        <v>49.005180000000003</v>
      </c>
      <c r="R880" s="23">
        <v>38.803089999999997</v>
      </c>
      <c r="S880" s="8">
        <v>0.17373</v>
      </c>
      <c r="T880" s="9">
        <v>2.845E-2</v>
      </c>
      <c r="U880" s="24">
        <v>2.9319999999999999E-2</v>
      </c>
    </row>
    <row r="881" spans="1:21" ht="12" customHeight="1" x14ac:dyDescent="0.25">
      <c r="A881" s="5">
        <v>2314</v>
      </c>
      <c r="B881" s="19" t="s">
        <v>448</v>
      </c>
      <c r="C881" s="19" t="s">
        <v>12</v>
      </c>
      <c r="D881" s="5" t="s">
        <v>449</v>
      </c>
      <c r="E881" s="6">
        <v>366896.59471600997</v>
      </c>
      <c r="F881" s="6">
        <v>6548222.7367794998</v>
      </c>
      <c r="G881" s="7" t="str">
        <f>HYPERLINK("https://minkarta.lantmateriet.se/?e=366896,59471601&amp;n=6548222,7367795&amp;z=12&amp;profile=flygbildmedgranser&amp;background=2&amp;boundaries=true","Visa")</f>
        <v>Visa</v>
      </c>
      <c r="H881" s="5" t="s">
        <v>10</v>
      </c>
      <c r="I881" s="8">
        <v>47.041519999999998</v>
      </c>
      <c r="J881" s="9">
        <v>58.869540000000001</v>
      </c>
      <c r="K881" s="9">
        <v>60.398119999999999</v>
      </c>
      <c r="L881" s="14">
        <v>47.953980000000001</v>
      </c>
      <c r="M881" s="9">
        <v>59.298650000000002</v>
      </c>
      <c r="N881" s="9">
        <v>60.916620000000002</v>
      </c>
      <c r="O881" s="14">
        <v>48.040959999999998</v>
      </c>
      <c r="P881" s="9">
        <v>59.327100000000002</v>
      </c>
      <c r="Q881" s="9">
        <v>60.94594</v>
      </c>
      <c r="R881" s="23">
        <v>38.029400000000003</v>
      </c>
      <c r="S881" s="8">
        <v>8.6980000000000002E-2</v>
      </c>
      <c r="T881" s="9">
        <v>2.845E-2</v>
      </c>
      <c r="U881" s="24">
        <v>2.9319999999999999E-2</v>
      </c>
    </row>
    <row r="882" spans="1:21" ht="12" customHeight="1" x14ac:dyDescent="0.25">
      <c r="A882" s="5">
        <v>2315</v>
      </c>
      <c r="B882" s="19" t="s">
        <v>448</v>
      </c>
      <c r="C882" s="19" t="s">
        <v>12</v>
      </c>
      <c r="D882" s="5" t="s">
        <v>449</v>
      </c>
      <c r="E882" s="6">
        <v>366898.80922246998</v>
      </c>
      <c r="F882" s="6">
        <v>6548216.6562176002</v>
      </c>
      <c r="G882" s="7" t="str">
        <f>HYPERLINK("https://minkarta.lantmateriet.se/?e=366898,80922247&amp;n=6548216,6562176&amp;z=12&amp;profile=flygbildmedgranser&amp;background=2&amp;boundaries=true","Visa")</f>
        <v>Visa</v>
      </c>
      <c r="H882" s="5" t="s">
        <v>11</v>
      </c>
      <c r="I882" s="8">
        <v>47.876919999999998</v>
      </c>
      <c r="J882" s="9">
        <v>55.212310000000002</v>
      </c>
      <c r="K882" s="9">
        <v>56.740900000000003</v>
      </c>
      <c r="L882" s="14">
        <v>48.798209999999997</v>
      </c>
      <c r="M882" s="9">
        <v>55.641419999999997</v>
      </c>
      <c r="N882" s="9">
        <v>57.259390000000003</v>
      </c>
      <c r="O882" s="14">
        <v>48.870800000000003</v>
      </c>
      <c r="P882" s="9">
        <v>55.669870000000003</v>
      </c>
      <c r="Q882" s="9">
        <v>57.288710000000002</v>
      </c>
      <c r="R882" s="23">
        <v>34.781419999999997</v>
      </c>
      <c r="S882" s="8">
        <v>7.2590000000000002E-2</v>
      </c>
      <c r="T882" s="9">
        <v>2.845E-2</v>
      </c>
      <c r="U882" s="24">
        <v>2.9319999999999999E-2</v>
      </c>
    </row>
    <row r="883" spans="1:21" ht="12" customHeight="1" x14ac:dyDescent="0.25">
      <c r="A883" s="5">
        <v>2316</v>
      </c>
      <c r="B883" s="19" t="s">
        <v>450</v>
      </c>
      <c r="C883" s="19" t="s">
        <v>12</v>
      </c>
      <c r="D883" s="5" t="s">
        <v>451</v>
      </c>
      <c r="E883" s="6">
        <v>366915.31130363001</v>
      </c>
      <c r="F883" s="6">
        <v>6548232.9382571001</v>
      </c>
      <c r="G883" s="7" t="str">
        <f>HYPERLINK("https://minkarta.lantmateriet.se/?e=366915,31130363&amp;n=6548232,9382571&amp;z=12&amp;profile=flygbildmedgranser&amp;background=2&amp;boundaries=true","Visa")</f>
        <v>Visa</v>
      </c>
      <c r="H883" s="5" t="s">
        <v>8</v>
      </c>
      <c r="I883" s="8">
        <v>45.251449999999998</v>
      </c>
      <c r="J883" s="9">
        <v>53.388570000000001</v>
      </c>
      <c r="K883" s="9">
        <v>54.917140000000003</v>
      </c>
      <c r="L883" s="14">
        <v>46.192250000000001</v>
      </c>
      <c r="M883" s="9">
        <v>53.81767</v>
      </c>
      <c r="N883" s="9">
        <v>55.435639999999999</v>
      </c>
      <c r="O883" s="14">
        <v>46.27946</v>
      </c>
      <c r="P883" s="9">
        <v>53.846119999999999</v>
      </c>
      <c r="Q883" s="9">
        <v>55.464959999999998</v>
      </c>
      <c r="R883" s="23">
        <v>35.438049999999997</v>
      </c>
      <c r="S883" s="8">
        <v>8.7209999999999996E-2</v>
      </c>
      <c r="T883" s="9">
        <v>2.845E-2</v>
      </c>
      <c r="U883" s="24">
        <v>2.9319999999999999E-2</v>
      </c>
    </row>
    <row r="884" spans="1:21" ht="12" customHeight="1" x14ac:dyDescent="0.25">
      <c r="A884" s="5">
        <v>2317</v>
      </c>
      <c r="B884" s="19" t="s">
        <v>450</v>
      </c>
      <c r="C884" s="19" t="s">
        <v>12</v>
      </c>
      <c r="D884" s="5" t="s">
        <v>451</v>
      </c>
      <c r="E884" s="6">
        <v>366913.10424679</v>
      </c>
      <c r="F884" s="6">
        <v>6548238.9678041004</v>
      </c>
      <c r="G884" s="7" t="str">
        <f>HYPERLINK("https://minkarta.lantmateriet.se/?e=366913,10424679&amp;n=6548238,9678041&amp;z=12&amp;profile=flygbildmedgranser&amp;background=2&amp;boundaries=true","Visa")</f>
        <v>Visa</v>
      </c>
      <c r="H884" s="5" t="s">
        <v>9</v>
      </c>
      <c r="I884" s="8">
        <v>41.440849999999998</v>
      </c>
      <c r="J884" s="9">
        <v>46.54618</v>
      </c>
      <c r="K884" s="9">
        <v>48.074759999999998</v>
      </c>
      <c r="L884" s="14">
        <v>42.372070000000001</v>
      </c>
      <c r="M884" s="9">
        <v>46.975279999999998</v>
      </c>
      <c r="N884" s="9">
        <v>48.593249999999998</v>
      </c>
      <c r="O884" s="14">
        <v>42.486690000000003</v>
      </c>
      <c r="P884" s="9">
        <v>47.003729999999997</v>
      </c>
      <c r="Q884" s="9">
        <v>48.622570000000003</v>
      </c>
      <c r="R884" s="23">
        <v>39.139189999999999</v>
      </c>
      <c r="S884" s="8">
        <v>0.11462</v>
      </c>
      <c r="T884" s="9">
        <v>2.845E-2</v>
      </c>
      <c r="U884" s="24">
        <v>2.9319999999999999E-2</v>
      </c>
    </row>
    <row r="885" spans="1:21" ht="12" customHeight="1" x14ac:dyDescent="0.25">
      <c r="A885" s="5">
        <v>2318</v>
      </c>
      <c r="B885" s="19" t="s">
        <v>450</v>
      </c>
      <c r="C885" s="19" t="s">
        <v>12</v>
      </c>
      <c r="D885" s="5" t="s">
        <v>451</v>
      </c>
      <c r="E885" s="6">
        <v>366906.85469810001</v>
      </c>
      <c r="F885" s="6">
        <v>6548237.4972464005</v>
      </c>
      <c r="G885" s="7" t="str">
        <f>HYPERLINK("https://minkarta.lantmateriet.se/?e=366906,8546981&amp;n=6548237,4972464&amp;z=12&amp;profile=flygbildmedgranser&amp;background=2&amp;boundaries=true","Visa")</f>
        <v>Visa</v>
      </c>
      <c r="H885" s="5" t="s">
        <v>10</v>
      </c>
      <c r="I885" s="8">
        <v>41.979709999999997</v>
      </c>
      <c r="J885" s="9">
        <v>50.228679999999997</v>
      </c>
      <c r="K885" s="9">
        <v>51.757260000000002</v>
      </c>
      <c r="L885" s="14">
        <v>42.899520000000003</v>
      </c>
      <c r="M885" s="9">
        <v>50.657780000000002</v>
      </c>
      <c r="N885" s="9">
        <v>52.275750000000002</v>
      </c>
      <c r="O885" s="14">
        <v>43.10521</v>
      </c>
      <c r="P885" s="9">
        <v>50.686230000000002</v>
      </c>
      <c r="Q885" s="9">
        <v>52.305070000000001</v>
      </c>
      <c r="R885" s="23">
        <v>40.656880000000001</v>
      </c>
      <c r="S885" s="8">
        <v>0.20569000000000001</v>
      </c>
      <c r="T885" s="9">
        <v>2.845E-2</v>
      </c>
      <c r="U885" s="24">
        <v>2.9319999999999999E-2</v>
      </c>
    </row>
    <row r="886" spans="1:21" ht="12" customHeight="1" x14ac:dyDescent="0.25">
      <c r="A886" s="5">
        <v>2319</v>
      </c>
      <c r="B886" s="19" t="s">
        <v>450</v>
      </c>
      <c r="C886" s="19" t="s">
        <v>12</v>
      </c>
      <c r="D886" s="5" t="s">
        <v>451</v>
      </c>
      <c r="E886" s="6">
        <v>366909.06175602</v>
      </c>
      <c r="F886" s="6">
        <v>6548231.4676994001</v>
      </c>
      <c r="G886" s="7" t="str">
        <f>HYPERLINK("https://minkarta.lantmateriet.se/?e=366909,06175602&amp;n=6548231,4676994&amp;z=12&amp;profile=flygbildmedgranser&amp;background=2&amp;boundaries=true","Visa")</f>
        <v>Visa</v>
      </c>
      <c r="H886" s="5" t="s">
        <v>11</v>
      </c>
      <c r="I886" s="8">
        <v>43.562890000000003</v>
      </c>
      <c r="J886" s="9">
        <v>54.06109</v>
      </c>
      <c r="K886" s="9">
        <v>55.589669999999998</v>
      </c>
      <c r="L886" s="14">
        <v>44.490079999999999</v>
      </c>
      <c r="M886" s="9">
        <v>54.490200000000002</v>
      </c>
      <c r="N886" s="9">
        <v>56.108170000000001</v>
      </c>
      <c r="O886" s="14">
        <v>44.570520000000002</v>
      </c>
      <c r="P886" s="9">
        <v>54.518650000000001</v>
      </c>
      <c r="Q886" s="9">
        <v>56.13749</v>
      </c>
      <c r="R886" s="23">
        <v>35.203000000000003</v>
      </c>
      <c r="S886" s="8">
        <v>8.0439999999999998E-2</v>
      </c>
      <c r="T886" s="9">
        <v>2.845E-2</v>
      </c>
      <c r="U886" s="24">
        <v>2.9319999999999999E-2</v>
      </c>
    </row>
    <row r="887" spans="1:21" ht="12" customHeight="1" x14ac:dyDescent="0.25">
      <c r="A887" s="5">
        <v>2320</v>
      </c>
      <c r="B887" s="19" t="s">
        <v>452</v>
      </c>
      <c r="C887" s="19" t="s">
        <v>12</v>
      </c>
      <c r="D887" s="5" t="s">
        <v>453</v>
      </c>
      <c r="E887" s="6">
        <v>366922.20929877</v>
      </c>
      <c r="F887" s="6">
        <v>6548249.7602481004</v>
      </c>
      <c r="G887" s="7" t="str">
        <f>HYPERLINK("https://minkarta.lantmateriet.se/?e=366922,20929877&amp;n=6548249,7602481&amp;z=12&amp;profile=flygbildmedgranser&amp;background=2&amp;boundaries=true","Visa")</f>
        <v>Visa</v>
      </c>
      <c r="H887" s="5" t="s">
        <v>8</v>
      </c>
      <c r="I887" s="8">
        <v>45.07141</v>
      </c>
      <c r="J887" s="9">
        <v>52.539110000000001</v>
      </c>
      <c r="K887" s="9">
        <v>54.067689999999999</v>
      </c>
      <c r="L887" s="14">
        <v>46.014800000000001</v>
      </c>
      <c r="M887" s="9">
        <v>52.968220000000002</v>
      </c>
      <c r="N887" s="9">
        <v>54.586190000000002</v>
      </c>
      <c r="O887" s="14">
        <v>46.148249999999997</v>
      </c>
      <c r="P887" s="9">
        <v>52.996670000000002</v>
      </c>
      <c r="Q887" s="9">
        <v>54.61551</v>
      </c>
      <c r="R887" s="23">
        <v>37.915730000000003</v>
      </c>
      <c r="S887" s="8">
        <v>0.13345000000000001</v>
      </c>
      <c r="T887" s="9">
        <v>2.845E-2</v>
      </c>
      <c r="U887" s="24">
        <v>2.9319999999999999E-2</v>
      </c>
    </row>
    <row r="888" spans="1:21" ht="12" customHeight="1" x14ac:dyDescent="0.25">
      <c r="A888" s="5">
        <v>2321</v>
      </c>
      <c r="B888" s="19" t="s">
        <v>452</v>
      </c>
      <c r="C888" s="19" t="s">
        <v>12</v>
      </c>
      <c r="D888" s="5" t="s">
        <v>453</v>
      </c>
      <c r="E888" s="6">
        <v>366919.96875475999</v>
      </c>
      <c r="F888" s="6">
        <v>6548255.8012998002</v>
      </c>
      <c r="G888" s="7" t="str">
        <f>HYPERLINK("https://minkarta.lantmateriet.se/?e=366919,96875476&amp;n=6548255,8012998&amp;z=12&amp;profile=flygbildmedgranser&amp;background=2&amp;boundaries=true","Visa")</f>
        <v>Visa</v>
      </c>
      <c r="H888" s="5" t="s">
        <v>9</v>
      </c>
      <c r="I888" s="8">
        <v>41.450679999999998</v>
      </c>
      <c r="J888" s="9">
        <v>47.237560000000002</v>
      </c>
      <c r="K888" s="9">
        <v>48.76614</v>
      </c>
      <c r="L888" s="14">
        <v>42.387779999999999</v>
      </c>
      <c r="M888" s="9">
        <v>47.666670000000003</v>
      </c>
      <c r="N888" s="9">
        <v>49.284640000000003</v>
      </c>
      <c r="O888" s="14">
        <v>42.690399999999997</v>
      </c>
      <c r="P888" s="9">
        <v>47.695120000000003</v>
      </c>
      <c r="Q888" s="9">
        <v>49.313960000000002</v>
      </c>
      <c r="R888" s="23">
        <v>41.75441</v>
      </c>
      <c r="S888" s="8">
        <v>0.30262</v>
      </c>
      <c r="T888" s="9">
        <v>2.845E-2</v>
      </c>
      <c r="U888" s="24">
        <v>2.9319999999999999E-2</v>
      </c>
    </row>
    <row r="889" spans="1:21" ht="12" customHeight="1" x14ac:dyDescent="0.25">
      <c r="A889" s="5">
        <v>2322</v>
      </c>
      <c r="B889" s="19" t="s">
        <v>452</v>
      </c>
      <c r="C889" s="19" t="s">
        <v>12</v>
      </c>
      <c r="D889" s="5" t="s">
        <v>453</v>
      </c>
      <c r="E889" s="6">
        <v>366913.68820273998</v>
      </c>
      <c r="F889" s="6">
        <v>6548254.3647549003</v>
      </c>
      <c r="G889" s="7" t="str">
        <f>HYPERLINK("https://minkarta.lantmateriet.se/?e=366913,68820274&amp;n=6548254,3647549&amp;z=12&amp;profile=flygbildmedgranser&amp;background=2&amp;boundaries=true","Visa")</f>
        <v>Visa</v>
      </c>
      <c r="H889" s="5" t="s">
        <v>10</v>
      </c>
      <c r="I889" s="8">
        <v>40.732559999999999</v>
      </c>
      <c r="J889" s="9">
        <v>48.2</v>
      </c>
      <c r="K889" s="9">
        <v>49.728580000000001</v>
      </c>
      <c r="L889" s="14">
        <v>41.652470000000001</v>
      </c>
      <c r="M889" s="9">
        <v>48.629109999999997</v>
      </c>
      <c r="N889" s="9">
        <v>50.247070000000001</v>
      </c>
      <c r="O889" s="14">
        <v>41.883769999999998</v>
      </c>
      <c r="P889" s="9">
        <v>48.657559999999997</v>
      </c>
      <c r="Q889" s="9">
        <v>50.276389999999999</v>
      </c>
      <c r="R889" s="23">
        <v>38.184280000000001</v>
      </c>
      <c r="S889" s="8">
        <v>0.23130000000000001</v>
      </c>
      <c r="T889" s="9">
        <v>2.845E-2</v>
      </c>
      <c r="U889" s="24">
        <v>2.9319999999999999E-2</v>
      </c>
    </row>
    <row r="890" spans="1:21" ht="12" customHeight="1" x14ac:dyDescent="0.25">
      <c r="A890" s="5">
        <v>2323</v>
      </c>
      <c r="B890" s="19" t="s">
        <v>452</v>
      </c>
      <c r="C890" s="19" t="s">
        <v>12</v>
      </c>
      <c r="D890" s="5" t="s">
        <v>453</v>
      </c>
      <c r="E890" s="6">
        <v>366915.9287468</v>
      </c>
      <c r="F890" s="6">
        <v>6548248.3237044001</v>
      </c>
      <c r="G890" s="7" t="str">
        <f>HYPERLINK("https://minkarta.lantmateriet.se/?e=366915,9287468&amp;n=6548248,3237044&amp;z=12&amp;profile=flygbildmedgranser&amp;background=2&amp;boundaries=true","Visa")</f>
        <v>Visa</v>
      </c>
      <c r="H890" s="5" t="s">
        <v>11</v>
      </c>
      <c r="I890" s="8">
        <v>41.690289999999997</v>
      </c>
      <c r="J890" s="9">
        <v>50.25412</v>
      </c>
      <c r="K890" s="9">
        <v>51.782699999999998</v>
      </c>
      <c r="L890" s="14">
        <v>42.61401</v>
      </c>
      <c r="M890" s="9">
        <v>50.683230000000002</v>
      </c>
      <c r="N890" s="9">
        <v>52.301200000000001</v>
      </c>
      <c r="O890" s="14">
        <v>42.701270000000001</v>
      </c>
      <c r="P890" s="9">
        <v>50.711680000000001</v>
      </c>
      <c r="Q890" s="9">
        <v>52.33052</v>
      </c>
      <c r="R890" s="23">
        <v>33.614330000000002</v>
      </c>
      <c r="S890" s="8">
        <v>8.7260000000000004E-2</v>
      </c>
      <c r="T890" s="9">
        <v>2.845E-2</v>
      </c>
      <c r="U890" s="24">
        <v>2.9319999999999999E-2</v>
      </c>
    </row>
    <row r="891" spans="1:21" ht="12" customHeight="1" x14ac:dyDescent="0.25">
      <c r="A891" s="5">
        <v>2324</v>
      </c>
      <c r="B891" s="19" t="s">
        <v>454</v>
      </c>
      <c r="C891" s="19" t="s">
        <v>12</v>
      </c>
      <c r="D891" s="5" t="s">
        <v>455</v>
      </c>
      <c r="E891" s="6">
        <v>366932.57180392998</v>
      </c>
      <c r="F891" s="6">
        <v>6548264.7547576996</v>
      </c>
      <c r="G891" s="7" t="str">
        <f>HYPERLINK("https://minkarta.lantmateriet.se/?e=366932,57180393&amp;n=6548264,7547577&amp;z=12&amp;profile=flygbildmedgranser&amp;background=2&amp;boundaries=true","Visa")</f>
        <v>Visa</v>
      </c>
      <c r="H891" s="5" t="s">
        <v>8</v>
      </c>
      <c r="I891" s="8">
        <v>45.170369999999998</v>
      </c>
      <c r="J891" s="9">
        <v>51.411920000000002</v>
      </c>
      <c r="K891" s="9">
        <v>52.9405</v>
      </c>
      <c r="L891" s="14">
        <v>46.113779999999998</v>
      </c>
      <c r="M891" s="9">
        <v>51.84102</v>
      </c>
      <c r="N891" s="9">
        <v>53.45899</v>
      </c>
      <c r="O891" s="14">
        <v>46.220370000000003</v>
      </c>
      <c r="P891" s="9">
        <v>51.869480000000003</v>
      </c>
      <c r="Q891" s="9">
        <v>53.488309999999998</v>
      </c>
      <c r="R891" s="23">
        <v>35.182659999999998</v>
      </c>
      <c r="S891" s="8">
        <v>0.10659</v>
      </c>
      <c r="T891" s="9">
        <v>2.8459999999999999E-2</v>
      </c>
      <c r="U891" s="24">
        <v>2.9319999999999999E-2</v>
      </c>
    </row>
    <row r="892" spans="1:21" ht="12" customHeight="1" x14ac:dyDescent="0.25">
      <c r="A892" s="5">
        <v>2325</v>
      </c>
      <c r="B892" s="19" t="s">
        <v>454</v>
      </c>
      <c r="C892" s="19" t="s">
        <v>12</v>
      </c>
      <c r="D892" s="5" t="s">
        <v>455</v>
      </c>
      <c r="E892" s="6">
        <v>366930.33024583</v>
      </c>
      <c r="F892" s="6">
        <v>6548270.7873047004</v>
      </c>
      <c r="G892" s="7" t="str">
        <f>HYPERLINK("https://minkarta.lantmateriet.se/?e=366930,33024583&amp;n=6548270,7873047&amp;z=12&amp;profile=flygbildmedgranser&amp;background=2&amp;boundaries=true","Visa")</f>
        <v>Visa</v>
      </c>
      <c r="H892" s="5" t="s">
        <v>9</v>
      </c>
      <c r="I892" s="8">
        <v>40.458689999999997</v>
      </c>
      <c r="J892" s="9">
        <v>45.393479999999997</v>
      </c>
      <c r="K892" s="9">
        <v>46.922060000000002</v>
      </c>
      <c r="L892" s="14">
        <v>41.385429999999999</v>
      </c>
      <c r="M892" s="9">
        <v>45.822589999999998</v>
      </c>
      <c r="N892" s="9">
        <v>47.440559999999998</v>
      </c>
      <c r="O892" s="14">
        <v>41.54316</v>
      </c>
      <c r="P892" s="9">
        <v>45.851039999999998</v>
      </c>
      <c r="Q892" s="9">
        <v>47.469880000000003</v>
      </c>
      <c r="R892" s="23">
        <v>39.910519999999998</v>
      </c>
      <c r="S892" s="8">
        <v>0.15773000000000001</v>
      </c>
      <c r="T892" s="9">
        <v>2.845E-2</v>
      </c>
      <c r="U892" s="24">
        <v>2.9319999999999999E-2</v>
      </c>
    </row>
    <row r="893" spans="1:21" ht="12" customHeight="1" x14ac:dyDescent="0.25">
      <c r="A893" s="5">
        <v>2326</v>
      </c>
      <c r="B893" s="19" t="s">
        <v>454</v>
      </c>
      <c r="C893" s="19" t="s">
        <v>12</v>
      </c>
      <c r="D893" s="5" t="s">
        <v>455</v>
      </c>
      <c r="E893" s="6">
        <v>366924.05869829998</v>
      </c>
      <c r="F893" s="6">
        <v>6548269.3427467002</v>
      </c>
      <c r="G893" s="7" t="str">
        <f>HYPERLINK("https://minkarta.lantmateriet.se/?e=366924,0586983&amp;n=6548269,3427467&amp;z=12&amp;profile=flygbildmedgranser&amp;background=2&amp;boundaries=true","Visa")</f>
        <v>Visa</v>
      </c>
      <c r="H893" s="5" t="s">
        <v>10</v>
      </c>
      <c r="I893" s="8">
        <v>40.381959999999999</v>
      </c>
      <c r="J893" s="9">
        <v>50.639029999999998</v>
      </c>
      <c r="K893" s="9">
        <v>52.167610000000003</v>
      </c>
      <c r="L893" s="14">
        <v>41.303600000000003</v>
      </c>
      <c r="M893" s="9">
        <v>51.06814</v>
      </c>
      <c r="N893" s="9">
        <v>52.686100000000003</v>
      </c>
      <c r="O893" s="14">
        <v>41.540579999999999</v>
      </c>
      <c r="P893" s="9">
        <v>51.096589999999999</v>
      </c>
      <c r="Q893" s="9">
        <v>52.715420000000002</v>
      </c>
      <c r="R893" s="23">
        <v>36.820099999999996</v>
      </c>
      <c r="S893" s="8">
        <v>0.23698</v>
      </c>
      <c r="T893" s="9">
        <v>2.845E-2</v>
      </c>
      <c r="U893" s="24">
        <v>2.9319999999999999E-2</v>
      </c>
    </row>
    <row r="894" spans="1:21" ht="12" customHeight="1" x14ac:dyDescent="0.25">
      <c r="A894" s="5">
        <v>2327</v>
      </c>
      <c r="B894" s="19" t="s">
        <v>454</v>
      </c>
      <c r="C894" s="19" t="s">
        <v>12</v>
      </c>
      <c r="D894" s="5" t="s">
        <v>455</v>
      </c>
      <c r="E894" s="6">
        <v>366926.30025740998</v>
      </c>
      <c r="F894" s="6">
        <v>6548263.3101987001</v>
      </c>
      <c r="G894" s="7" t="str">
        <f>HYPERLINK("https://minkarta.lantmateriet.se/?e=366926,30025741&amp;n=6548263,3101987&amp;z=12&amp;profile=flygbildmedgranser&amp;background=2&amp;boundaries=true","Visa")</f>
        <v>Visa</v>
      </c>
      <c r="H894" s="5" t="s">
        <v>11</v>
      </c>
      <c r="I894" s="8">
        <v>41.704410000000003</v>
      </c>
      <c r="J894" s="9">
        <v>50.380879999999998</v>
      </c>
      <c r="K894" s="9">
        <v>51.909460000000003</v>
      </c>
      <c r="L894" s="14">
        <v>42.637309999999999</v>
      </c>
      <c r="M894" s="9">
        <v>50.809989999999999</v>
      </c>
      <c r="N894" s="9">
        <v>52.427950000000003</v>
      </c>
      <c r="O894" s="14">
        <v>42.761299999999999</v>
      </c>
      <c r="P894" s="9">
        <v>50.838439999999999</v>
      </c>
      <c r="Q894" s="9">
        <v>52.457270000000001</v>
      </c>
      <c r="R894" s="23">
        <v>32.945450000000001</v>
      </c>
      <c r="S894" s="8">
        <v>0.12399</v>
      </c>
      <c r="T894" s="9">
        <v>2.845E-2</v>
      </c>
      <c r="U894" s="24">
        <v>2.9319999999999999E-2</v>
      </c>
    </row>
    <row r="895" spans="1:21" ht="12" customHeight="1" x14ac:dyDescent="0.25">
      <c r="A895" s="5">
        <v>2328</v>
      </c>
      <c r="B895" s="19" t="s">
        <v>456</v>
      </c>
      <c r="C895" s="19" t="s">
        <v>12</v>
      </c>
      <c r="D895" s="5" t="s">
        <v>457</v>
      </c>
      <c r="E895" s="6">
        <v>366933.14272518997</v>
      </c>
      <c r="F895" s="6">
        <v>6548280.0847161002</v>
      </c>
      <c r="G895" s="7" t="str">
        <f>HYPERLINK("https://minkarta.lantmateriet.se/?e=366933,14272519&amp;n=6548280,0847161&amp;z=12&amp;profile=flygbildmedgranser&amp;background=2&amp;boundaries=true","Visa")</f>
        <v>Visa</v>
      </c>
      <c r="H895" s="5" t="s">
        <v>11</v>
      </c>
      <c r="I895" s="8">
        <v>40.832999999999998</v>
      </c>
      <c r="J895" s="9">
        <v>48.38644</v>
      </c>
      <c r="K895" s="9">
        <v>49.915019999999998</v>
      </c>
      <c r="L895" s="14">
        <v>41.760509999999996</v>
      </c>
      <c r="M895" s="9">
        <v>48.815539999999999</v>
      </c>
      <c r="N895" s="9">
        <v>50.433509999999998</v>
      </c>
      <c r="O895" s="14">
        <v>41.860140000000001</v>
      </c>
      <c r="P895" s="9">
        <v>48.843989999999998</v>
      </c>
      <c r="Q895" s="9">
        <v>50.462829999999997</v>
      </c>
      <c r="R895" s="23">
        <v>35.852559999999997</v>
      </c>
      <c r="S895" s="8">
        <v>9.9629999999999996E-2</v>
      </c>
      <c r="T895" s="9">
        <v>2.845E-2</v>
      </c>
      <c r="U895" s="24">
        <v>2.9319999999999999E-2</v>
      </c>
    </row>
    <row r="896" spans="1:21" ht="12" customHeight="1" x14ac:dyDescent="0.25">
      <c r="A896" s="5">
        <v>2329</v>
      </c>
      <c r="B896" s="19" t="s">
        <v>456</v>
      </c>
      <c r="C896" s="19" t="s">
        <v>12</v>
      </c>
      <c r="D896" s="5" t="s">
        <v>457</v>
      </c>
      <c r="E896" s="6">
        <v>366939.42428674002</v>
      </c>
      <c r="F896" s="6">
        <v>6548281.5157259004</v>
      </c>
      <c r="G896" s="7" t="str">
        <f>HYPERLINK("https://minkarta.lantmateriet.se/?e=366939,42428674&amp;n=6548281,5157259&amp;z=12&amp;profile=flygbildmedgranser&amp;background=2&amp;boundaries=true","Visa")</f>
        <v>Visa</v>
      </c>
      <c r="H896" s="5" t="s">
        <v>8</v>
      </c>
      <c r="I896" s="8">
        <v>45.296939999999999</v>
      </c>
      <c r="J896" s="9">
        <v>52.498840000000001</v>
      </c>
      <c r="K896" s="9">
        <v>54.027419999999999</v>
      </c>
      <c r="L896" s="14">
        <v>46.239960000000004</v>
      </c>
      <c r="M896" s="9">
        <v>52.927950000000003</v>
      </c>
      <c r="N896" s="9">
        <v>54.545909999999999</v>
      </c>
      <c r="O896" s="14">
        <v>46.339979999999997</v>
      </c>
      <c r="P896" s="9">
        <v>52.956400000000002</v>
      </c>
      <c r="Q896" s="9">
        <v>54.575240000000001</v>
      </c>
      <c r="R896" s="23">
        <v>35.358550000000001</v>
      </c>
      <c r="S896" s="8">
        <v>0.10002</v>
      </c>
      <c r="T896" s="9">
        <v>2.845E-2</v>
      </c>
      <c r="U896" s="24">
        <v>2.9329999999999998E-2</v>
      </c>
    </row>
    <row r="897" spans="1:21" ht="12" customHeight="1" x14ac:dyDescent="0.25">
      <c r="A897" s="5">
        <v>2330</v>
      </c>
      <c r="B897" s="19" t="s">
        <v>456</v>
      </c>
      <c r="C897" s="19" t="s">
        <v>12</v>
      </c>
      <c r="D897" s="5" t="s">
        <v>457</v>
      </c>
      <c r="E897" s="6">
        <v>366937.20927600999</v>
      </c>
      <c r="F897" s="6">
        <v>6548287.5647882996</v>
      </c>
      <c r="G897" s="7" t="str">
        <f>HYPERLINK("https://minkarta.lantmateriet.se/?e=366937,20927601&amp;n=6548287,5647883&amp;z=12&amp;profile=flygbildmedgranser&amp;background=2&amp;boundaries=true","Visa")</f>
        <v>Visa</v>
      </c>
      <c r="H897" s="5" t="s">
        <v>9</v>
      </c>
      <c r="I897" s="8">
        <v>40.918570000000003</v>
      </c>
      <c r="J897" s="9">
        <v>43.588070000000002</v>
      </c>
      <c r="K897" s="9">
        <v>45.11665</v>
      </c>
      <c r="L897" s="14">
        <v>41.841070000000002</v>
      </c>
      <c r="M897" s="9">
        <v>44.017180000000003</v>
      </c>
      <c r="N897" s="9">
        <v>45.635150000000003</v>
      </c>
      <c r="O897" s="14">
        <v>42.13167</v>
      </c>
      <c r="P897" s="9">
        <v>45.384619999999998</v>
      </c>
      <c r="Q897" s="9">
        <v>45.664470000000001</v>
      </c>
      <c r="R897" s="23">
        <v>42.326250000000002</v>
      </c>
      <c r="S897" s="8">
        <v>0.29060000000000002</v>
      </c>
      <c r="T897" s="9">
        <v>1.36744</v>
      </c>
      <c r="U897" s="24">
        <v>2.9319999999999999E-2</v>
      </c>
    </row>
    <row r="898" spans="1:21" ht="12" customHeight="1" x14ac:dyDescent="0.25">
      <c r="A898" s="5">
        <v>2331</v>
      </c>
      <c r="B898" s="19" t="s">
        <v>456</v>
      </c>
      <c r="C898" s="19" t="s">
        <v>12</v>
      </c>
      <c r="D898" s="5" t="s">
        <v>457</v>
      </c>
      <c r="E898" s="6">
        <v>366930.92771552998</v>
      </c>
      <c r="F898" s="6">
        <v>6548286.1337786</v>
      </c>
      <c r="G898" s="7" t="str">
        <f>HYPERLINK("https://minkarta.lantmateriet.se/?e=366930,92771553&amp;n=6548286,1337786&amp;z=12&amp;profile=flygbildmedgranser&amp;background=2&amp;boundaries=true","Visa")</f>
        <v>Visa</v>
      </c>
      <c r="H898" s="5" t="s">
        <v>10</v>
      </c>
      <c r="I898" s="8">
        <v>40.913139999999999</v>
      </c>
      <c r="J898" s="9">
        <v>48.067329999999998</v>
      </c>
      <c r="K898" s="9">
        <v>49.595910000000003</v>
      </c>
      <c r="L898" s="14">
        <v>41.837589999999999</v>
      </c>
      <c r="M898" s="9">
        <v>48.49644</v>
      </c>
      <c r="N898" s="9">
        <v>50.60134</v>
      </c>
      <c r="O898" s="14">
        <v>42.195819999999998</v>
      </c>
      <c r="P898" s="9">
        <v>48.524889999999999</v>
      </c>
      <c r="Q898" s="9">
        <v>50.970080000000003</v>
      </c>
      <c r="R898" s="23">
        <v>40.342680000000001</v>
      </c>
      <c r="S898" s="8">
        <v>0.35822999999999999</v>
      </c>
      <c r="T898" s="9">
        <v>2.845E-2</v>
      </c>
      <c r="U898" s="24">
        <v>0.36874000000000001</v>
      </c>
    </row>
    <row r="899" spans="1:21" ht="12" customHeight="1" x14ac:dyDescent="0.25">
      <c r="A899" s="5">
        <v>2332</v>
      </c>
      <c r="B899" s="19" t="s">
        <v>458</v>
      </c>
      <c r="C899" s="19" t="s">
        <v>12</v>
      </c>
      <c r="D899" s="5" t="s">
        <v>459</v>
      </c>
      <c r="E899" s="6">
        <v>366949.68627856002</v>
      </c>
      <c r="F899" s="6">
        <v>6548296.3872109</v>
      </c>
      <c r="G899" s="7" t="str">
        <f>HYPERLINK("https://minkarta.lantmateriet.se/?e=366949,68627856&amp;n=6548296,3872109&amp;z=12&amp;profile=flygbildmedgranser&amp;background=2&amp;boundaries=true","Visa")</f>
        <v>Visa</v>
      </c>
      <c r="H899" s="5" t="s">
        <v>8</v>
      </c>
      <c r="I899" s="8">
        <v>45.615609999999997</v>
      </c>
      <c r="J899" s="9">
        <v>53.700099999999999</v>
      </c>
      <c r="K899" s="9">
        <v>55.228679999999997</v>
      </c>
      <c r="L899" s="14">
        <v>46.551560000000002</v>
      </c>
      <c r="M899" s="9">
        <v>54.12921</v>
      </c>
      <c r="N899" s="9">
        <v>55.74718</v>
      </c>
      <c r="O899" s="14">
        <v>46.611510000000003</v>
      </c>
      <c r="P899" s="9">
        <v>54.15766</v>
      </c>
      <c r="Q899" s="9">
        <v>55.776499999999999</v>
      </c>
      <c r="R899" s="23">
        <v>34.612920000000003</v>
      </c>
      <c r="S899" s="8">
        <v>5.9950000000000003E-2</v>
      </c>
      <c r="T899" s="9">
        <v>2.845E-2</v>
      </c>
      <c r="U899" s="24">
        <v>2.9319999999999999E-2</v>
      </c>
    </row>
    <row r="900" spans="1:21" ht="12" customHeight="1" x14ac:dyDescent="0.25">
      <c r="A900" s="5">
        <v>2333</v>
      </c>
      <c r="B900" s="19" t="s">
        <v>458</v>
      </c>
      <c r="C900" s="19" t="s">
        <v>12</v>
      </c>
      <c r="D900" s="5" t="s">
        <v>459</v>
      </c>
      <c r="E900" s="6">
        <v>366947.45779204997</v>
      </c>
      <c r="F900" s="6">
        <v>6548302.4432795998</v>
      </c>
      <c r="G900" s="7" t="str">
        <f>HYPERLINK("https://minkarta.lantmateriet.se/?e=366947,45779205&amp;n=6548302,4432796&amp;z=12&amp;profile=flygbildmedgranser&amp;background=2&amp;boundaries=true","Visa")</f>
        <v>Visa</v>
      </c>
      <c r="H900" s="5" t="s">
        <v>9</v>
      </c>
      <c r="I900" s="8">
        <v>39.815240000000003</v>
      </c>
      <c r="J900" s="9">
        <v>45.464100000000002</v>
      </c>
      <c r="K900" s="9">
        <v>46.99268</v>
      </c>
      <c r="L900" s="14">
        <v>40.743020000000001</v>
      </c>
      <c r="M900" s="9">
        <v>45.8932</v>
      </c>
      <c r="N900" s="9">
        <v>47.51117</v>
      </c>
      <c r="O900" s="14">
        <v>41.02317</v>
      </c>
      <c r="P900" s="9">
        <v>45.92165</v>
      </c>
      <c r="Q900" s="9">
        <v>47.540489999999998</v>
      </c>
      <c r="R900" s="23">
        <v>40.387390000000003</v>
      </c>
      <c r="S900" s="8">
        <v>0.28015000000000001</v>
      </c>
      <c r="T900" s="9">
        <v>2.845E-2</v>
      </c>
      <c r="U900" s="24">
        <v>2.9319999999999999E-2</v>
      </c>
    </row>
    <row r="901" spans="1:21" ht="12" customHeight="1" x14ac:dyDescent="0.25">
      <c r="A901" s="5">
        <v>2334</v>
      </c>
      <c r="B901" s="19" t="s">
        <v>458</v>
      </c>
      <c r="C901" s="19" t="s">
        <v>12</v>
      </c>
      <c r="D901" s="5" t="s">
        <v>459</v>
      </c>
      <c r="E901" s="6">
        <v>366941.15872370999</v>
      </c>
      <c r="F901" s="6">
        <v>6548301.0422935998</v>
      </c>
      <c r="G901" s="7" t="str">
        <f>HYPERLINK("https://minkarta.lantmateriet.se/?e=366941,15872371&amp;n=6548301,0422936&amp;z=12&amp;profile=flygbildmedgranser&amp;background=2&amp;boundaries=true","Visa")</f>
        <v>Visa</v>
      </c>
      <c r="H901" s="5" t="s">
        <v>10</v>
      </c>
      <c r="I901" s="8">
        <v>40.150509999999997</v>
      </c>
      <c r="J901" s="9">
        <v>48.795589999999997</v>
      </c>
      <c r="K901" s="9">
        <v>50.324170000000002</v>
      </c>
      <c r="L901" s="14">
        <v>41.071100000000001</v>
      </c>
      <c r="M901" s="9">
        <v>49.224699999999999</v>
      </c>
      <c r="N901" s="9">
        <v>50.842669999999998</v>
      </c>
      <c r="O901" s="14">
        <v>41.254710000000003</v>
      </c>
      <c r="P901" s="9">
        <v>49.253149999999998</v>
      </c>
      <c r="Q901" s="9">
        <v>51.616289999999999</v>
      </c>
      <c r="R901" s="23">
        <v>40.830950000000001</v>
      </c>
      <c r="S901" s="8">
        <v>0.18361</v>
      </c>
      <c r="T901" s="9">
        <v>2.845E-2</v>
      </c>
      <c r="U901" s="24">
        <v>0.77361999999999997</v>
      </c>
    </row>
    <row r="902" spans="1:21" ht="12" customHeight="1" x14ac:dyDescent="0.25">
      <c r="A902" s="5">
        <v>2335</v>
      </c>
      <c r="B902" s="19" t="s">
        <v>458</v>
      </c>
      <c r="C902" s="19" t="s">
        <v>12</v>
      </c>
      <c r="D902" s="5" t="s">
        <v>459</v>
      </c>
      <c r="E902" s="6">
        <v>366943.38720915001</v>
      </c>
      <c r="F902" s="6">
        <v>6548294.9862249</v>
      </c>
      <c r="G902" s="7" t="str">
        <f>HYPERLINK("https://minkarta.lantmateriet.se/?e=366943,38720915&amp;n=6548294,9862249&amp;z=12&amp;profile=flygbildmedgranser&amp;background=2&amp;boundaries=true","Visa")</f>
        <v>Visa</v>
      </c>
      <c r="H902" s="5" t="s">
        <v>11</v>
      </c>
      <c r="I902" s="8">
        <v>41.281750000000002</v>
      </c>
      <c r="J902" s="9">
        <v>43.604349999999997</v>
      </c>
      <c r="K902" s="9">
        <v>45.132930000000002</v>
      </c>
      <c r="L902" s="14">
        <v>42.217619999999997</v>
      </c>
      <c r="M902" s="9">
        <v>44.033450000000002</v>
      </c>
      <c r="N902" s="9">
        <v>45.852429999999998</v>
      </c>
      <c r="O902" s="14">
        <v>42.34883</v>
      </c>
      <c r="P902" s="9">
        <v>44.116239999999998</v>
      </c>
      <c r="Q902" s="9">
        <v>45.73507</v>
      </c>
      <c r="R902" s="23">
        <v>36.763199999999998</v>
      </c>
      <c r="S902" s="8">
        <v>0.13120999999999999</v>
      </c>
      <c r="T902" s="9">
        <v>8.2790000000000002E-2</v>
      </c>
      <c r="U902" s="24">
        <v>-0.11736000000000001</v>
      </c>
    </row>
    <row r="903" spans="1:21" ht="12" customHeight="1" x14ac:dyDescent="0.25">
      <c r="A903" s="5">
        <v>2337</v>
      </c>
      <c r="B903" s="19" t="s">
        <v>460</v>
      </c>
      <c r="C903" s="19" t="s">
        <v>12</v>
      </c>
      <c r="D903" s="5" t="s">
        <v>461</v>
      </c>
      <c r="E903" s="6">
        <v>366954.31978967</v>
      </c>
      <c r="F903" s="6">
        <v>6548319.1917808997</v>
      </c>
      <c r="G903" s="7" t="str">
        <f>HYPERLINK("https://minkarta.lantmateriet.se/?e=366954,31978967&amp;n=6548319,1917809&amp;z=12&amp;profile=flygbildmedgranser&amp;background=2&amp;boundaries=true","Visa")</f>
        <v>Visa</v>
      </c>
      <c r="H903" s="5" t="s">
        <v>9</v>
      </c>
      <c r="I903" s="8">
        <v>36.97186</v>
      </c>
      <c r="J903" s="9">
        <v>42.42456</v>
      </c>
      <c r="K903" s="9">
        <v>43.878520000000002</v>
      </c>
      <c r="L903" s="14">
        <v>37.917549999999999</v>
      </c>
      <c r="M903" s="9">
        <v>42.924059999999997</v>
      </c>
      <c r="N903" s="9">
        <v>46.394710000000003</v>
      </c>
      <c r="O903" s="14">
        <v>38.404989999999998</v>
      </c>
      <c r="P903" s="9">
        <v>45.252769999999998</v>
      </c>
      <c r="Q903" s="9">
        <v>46.763449999999999</v>
      </c>
      <c r="R903" s="23">
        <v>36.795310000000001</v>
      </c>
      <c r="S903" s="8">
        <v>0.48743999999999998</v>
      </c>
      <c r="T903" s="9">
        <v>2.3287100000000001</v>
      </c>
      <c r="U903" s="24">
        <v>0.36874000000000001</v>
      </c>
    </row>
    <row r="904" spans="1:21" ht="12" customHeight="1" x14ac:dyDescent="0.25">
      <c r="A904" s="5">
        <v>2338</v>
      </c>
      <c r="B904" s="19" t="s">
        <v>460</v>
      </c>
      <c r="C904" s="19" t="s">
        <v>12</v>
      </c>
      <c r="D904" s="5" t="s">
        <v>461</v>
      </c>
      <c r="E904" s="6">
        <v>366948.04872128001</v>
      </c>
      <c r="F904" s="6">
        <v>6548317.7837891001</v>
      </c>
      <c r="G904" s="7" t="str">
        <f>HYPERLINK("https://minkarta.lantmateriet.se/?e=366948,04872128&amp;n=6548317,7837891&amp;z=12&amp;profile=flygbildmedgranser&amp;background=2&amp;boundaries=true","Visa")</f>
        <v>Visa</v>
      </c>
      <c r="H904" s="5" t="s">
        <v>10</v>
      </c>
      <c r="I904" s="8">
        <v>38.752290000000002</v>
      </c>
      <c r="J904" s="9">
        <v>46.503720000000001</v>
      </c>
      <c r="K904" s="9">
        <v>48.032299999999999</v>
      </c>
      <c r="L904" s="14">
        <v>39.674340000000001</v>
      </c>
      <c r="M904" s="9">
        <v>46.93282</v>
      </c>
      <c r="N904" s="9">
        <v>49.55095</v>
      </c>
      <c r="O904" s="14">
        <v>40.205539999999999</v>
      </c>
      <c r="P904" s="9">
        <v>47.065109999999997</v>
      </c>
      <c r="Q904" s="9">
        <v>49.91968</v>
      </c>
      <c r="R904" s="23">
        <v>44.059829999999998</v>
      </c>
      <c r="S904" s="8">
        <v>0.53120000000000001</v>
      </c>
      <c r="T904" s="9">
        <v>0.13228999999999999</v>
      </c>
      <c r="U904" s="24">
        <v>0.36873</v>
      </c>
    </row>
    <row r="905" spans="1:21" ht="12" customHeight="1" x14ac:dyDescent="0.25">
      <c r="A905" s="5">
        <v>2339</v>
      </c>
      <c r="B905" s="19" t="s">
        <v>460</v>
      </c>
      <c r="C905" s="19" t="s">
        <v>12</v>
      </c>
      <c r="D905" s="5" t="s">
        <v>461</v>
      </c>
      <c r="E905" s="6">
        <v>366950.26171356998</v>
      </c>
      <c r="F905" s="6">
        <v>6548311.7487223996</v>
      </c>
      <c r="G905" s="7" t="str">
        <f>HYPERLINK("https://minkarta.lantmateriet.se/?e=366950,26171357&amp;n=6548311,7487224&amp;z=12&amp;profile=flygbildmedgranser&amp;background=2&amp;boundaries=true","Visa")</f>
        <v>Visa</v>
      </c>
      <c r="H905" s="5" t="s">
        <v>11</v>
      </c>
      <c r="I905" s="8">
        <v>39.760750000000002</v>
      </c>
      <c r="J905" s="9">
        <v>45.458539999999999</v>
      </c>
      <c r="K905" s="9">
        <v>46.987119999999997</v>
      </c>
      <c r="L905" s="14">
        <v>40.686839999999997</v>
      </c>
      <c r="M905" s="9">
        <v>45.887650000000001</v>
      </c>
      <c r="N905" s="9">
        <v>47.50562</v>
      </c>
      <c r="O905" s="14">
        <v>41.042059999999999</v>
      </c>
      <c r="P905" s="9">
        <v>45.9161</v>
      </c>
      <c r="Q905" s="9">
        <v>47.534930000000003</v>
      </c>
      <c r="R905" s="23">
        <v>41.454920000000001</v>
      </c>
      <c r="S905" s="8">
        <v>0.35521999999999998</v>
      </c>
      <c r="T905" s="9">
        <v>2.845E-2</v>
      </c>
      <c r="U905" s="24">
        <v>2.9309999999999999E-2</v>
      </c>
    </row>
    <row r="906" spans="1:21" ht="12" customHeight="1" x14ac:dyDescent="0.25">
      <c r="A906" s="5">
        <v>2340</v>
      </c>
      <c r="B906" s="19" t="s">
        <v>462</v>
      </c>
      <c r="C906" s="19" t="s">
        <v>12</v>
      </c>
      <c r="D906" s="5" t="s">
        <v>463</v>
      </c>
      <c r="E906" s="6">
        <v>367033.63880647998</v>
      </c>
      <c r="F906" s="6">
        <v>6548168.5172624001</v>
      </c>
      <c r="G906" s="7" t="str">
        <f>HYPERLINK("https://minkarta.lantmateriet.se/?e=367033,63880648&amp;n=6548168,5172624&amp;z=12&amp;profile=flygbildmedgranser&amp;background=2&amp;boundaries=true","Visa")</f>
        <v>Visa</v>
      </c>
      <c r="H906" s="5" t="s">
        <v>8</v>
      </c>
      <c r="I906" s="8">
        <v>41.544229999999999</v>
      </c>
      <c r="J906" s="9">
        <v>45.47513</v>
      </c>
      <c r="K906" s="9">
        <v>47.003709999999998</v>
      </c>
      <c r="L906" s="14">
        <v>42.477879999999999</v>
      </c>
      <c r="M906" s="9">
        <v>45.904229999999998</v>
      </c>
      <c r="N906" s="9">
        <v>47.522199999999998</v>
      </c>
      <c r="O906" s="14">
        <v>42.654710000000001</v>
      </c>
      <c r="P906" s="9">
        <v>45.932690000000001</v>
      </c>
      <c r="Q906" s="9">
        <v>47.551519999999996</v>
      </c>
      <c r="R906" s="23">
        <v>32.605870000000003</v>
      </c>
      <c r="S906" s="8">
        <v>0.17682999999999999</v>
      </c>
      <c r="T906" s="9">
        <v>2.8459999999999999E-2</v>
      </c>
      <c r="U906" s="24">
        <v>2.9319999999999999E-2</v>
      </c>
    </row>
    <row r="907" spans="1:21" ht="12" customHeight="1" x14ac:dyDescent="0.25">
      <c r="A907" s="5">
        <v>2341</v>
      </c>
      <c r="B907" s="19" t="s">
        <v>462</v>
      </c>
      <c r="C907" s="19" t="s">
        <v>12</v>
      </c>
      <c r="D907" s="5" t="s">
        <v>463</v>
      </c>
      <c r="E907" s="6">
        <v>367029.28074006003</v>
      </c>
      <c r="F907" s="6">
        <v>6548177.0103077004</v>
      </c>
      <c r="G907" s="7" t="str">
        <f>HYPERLINK("https://minkarta.lantmateriet.se/?e=367029,28074006&amp;n=6548177,0103077&amp;z=12&amp;profile=flygbildmedgranser&amp;background=2&amp;boundaries=true","Visa")</f>
        <v>Visa</v>
      </c>
      <c r="H907" s="5" t="s">
        <v>9</v>
      </c>
      <c r="I907" s="8">
        <v>42.616959999999999</v>
      </c>
      <c r="J907" s="9">
        <v>47.029559999999996</v>
      </c>
      <c r="K907" s="9">
        <v>48.558140000000002</v>
      </c>
      <c r="L907" s="14">
        <v>43.560560000000002</v>
      </c>
      <c r="M907" s="9">
        <v>47.458669999999998</v>
      </c>
      <c r="N907" s="9">
        <v>49.076630000000002</v>
      </c>
      <c r="O907" s="14">
        <v>43.685229999999997</v>
      </c>
      <c r="P907" s="9">
        <v>47.487119999999997</v>
      </c>
      <c r="Q907" s="9">
        <v>49.10595</v>
      </c>
      <c r="R907" s="23">
        <v>32.31662</v>
      </c>
      <c r="S907" s="8">
        <v>0.12467</v>
      </c>
      <c r="T907" s="9">
        <v>2.845E-2</v>
      </c>
      <c r="U907" s="24">
        <v>2.9319999999999999E-2</v>
      </c>
    </row>
    <row r="908" spans="1:21" ht="12" customHeight="1" x14ac:dyDescent="0.25">
      <c r="A908" s="5">
        <v>2342</v>
      </c>
      <c r="B908" s="19" t="s">
        <v>462</v>
      </c>
      <c r="C908" s="19" t="s">
        <v>12</v>
      </c>
      <c r="D908" s="5" t="s">
        <v>463</v>
      </c>
      <c r="E908" s="6">
        <v>367019.79169534001</v>
      </c>
      <c r="F908" s="6">
        <v>6548175.9702412002</v>
      </c>
      <c r="G908" s="7" t="str">
        <f>HYPERLINK("https://minkarta.lantmateriet.se/?e=367019,79169534&amp;n=6548175,9702412&amp;z=12&amp;profile=flygbildmedgranser&amp;background=2&amp;boundaries=true","Visa")</f>
        <v>Visa</v>
      </c>
      <c r="H908" s="5" t="s">
        <v>10</v>
      </c>
      <c r="I908" s="8">
        <v>45.282499999999999</v>
      </c>
      <c r="J908" s="9">
        <v>51.441960000000002</v>
      </c>
      <c r="K908" s="9">
        <v>52.97054</v>
      </c>
      <c r="L908" s="14">
        <v>46.220750000000002</v>
      </c>
      <c r="M908" s="9">
        <v>51.87106</v>
      </c>
      <c r="N908" s="9">
        <v>53.48903</v>
      </c>
      <c r="O908" s="14">
        <v>46.335720000000002</v>
      </c>
      <c r="P908" s="9">
        <v>51.899509999999999</v>
      </c>
      <c r="Q908" s="9">
        <v>53.518349999999998</v>
      </c>
      <c r="R908" s="23">
        <v>37.884639999999997</v>
      </c>
      <c r="S908" s="8">
        <v>0.11497</v>
      </c>
      <c r="T908" s="9">
        <v>2.845E-2</v>
      </c>
      <c r="U908" s="24">
        <v>2.9319999999999999E-2</v>
      </c>
    </row>
    <row r="909" spans="1:21" ht="12" customHeight="1" x14ac:dyDescent="0.25">
      <c r="A909" s="5">
        <v>2343</v>
      </c>
      <c r="B909" s="19" t="s">
        <v>462</v>
      </c>
      <c r="C909" s="19" t="s">
        <v>12</v>
      </c>
      <c r="D909" s="5" t="s">
        <v>463</v>
      </c>
      <c r="E909" s="6">
        <v>367024.14976117999</v>
      </c>
      <c r="F909" s="6">
        <v>6548167.4771966999</v>
      </c>
      <c r="G909" s="7" t="str">
        <f>HYPERLINK("https://minkarta.lantmateriet.se/?e=367024,14976118&amp;n=6548167,4771967&amp;z=12&amp;profile=flygbildmedgranser&amp;background=2&amp;boundaries=true","Visa")</f>
        <v>Visa</v>
      </c>
      <c r="H909" s="5" t="s">
        <v>11</v>
      </c>
      <c r="I909" s="8">
        <v>44.970599999999997</v>
      </c>
      <c r="J909" s="9">
        <v>49.764850000000003</v>
      </c>
      <c r="K909" s="9">
        <v>51.293430000000001</v>
      </c>
      <c r="L909" s="14">
        <v>45.90719</v>
      </c>
      <c r="M909" s="9">
        <v>50.193959999999997</v>
      </c>
      <c r="N909" s="9">
        <v>51.811920000000001</v>
      </c>
      <c r="O909" s="14">
        <v>46.005789999999998</v>
      </c>
      <c r="P909" s="9">
        <v>50.222410000000004</v>
      </c>
      <c r="Q909" s="9">
        <v>51.841239999999999</v>
      </c>
      <c r="R909" s="23">
        <v>34.145910000000001</v>
      </c>
      <c r="S909" s="8">
        <v>9.8599999999999993E-2</v>
      </c>
      <c r="T909" s="9">
        <v>2.845E-2</v>
      </c>
      <c r="U909" s="24">
        <v>2.9319999999999999E-2</v>
      </c>
    </row>
    <row r="910" spans="1:21" ht="12" customHeight="1" x14ac:dyDescent="0.25">
      <c r="A910" s="5">
        <v>2344</v>
      </c>
      <c r="B910" s="19" t="s">
        <v>464</v>
      </c>
      <c r="C910" s="19" t="s">
        <v>12</v>
      </c>
      <c r="D910" s="5" t="s">
        <v>465</v>
      </c>
      <c r="E910" s="6">
        <v>367044.53079932003</v>
      </c>
      <c r="F910" s="6">
        <v>6548188.7792491997</v>
      </c>
      <c r="G910" s="7" t="str">
        <f>HYPERLINK("https://minkarta.lantmateriet.se/?e=367044,53079932&amp;n=6548188,7792492&amp;z=12&amp;profile=flygbildmedgranser&amp;background=2&amp;boundaries=true","Visa")</f>
        <v>Visa</v>
      </c>
      <c r="H910" s="5" t="s">
        <v>8</v>
      </c>
      <c r="I910" s="8">
        <v>41.358490000000003</v>
      </c>
      <c r="J910" s="9">
        <v>48.504240000000003</v>
      </c>
      <c r="K910" s="9">
        <v>49.958199999999998</v>
      </c>
      <c r="L910" s="14">
        <v>42.294640000000001</v>
      </c>
      <c r="M910" s="9">
        <v>49.003729999999997</v>
      </c>
      <c r="N910" s="9">
        <v>52.474400000000003</v>
      </c>
      <c r="O910" s="14">
        <v>42.458240000000004</v>
      </c>
      <c r="P910" s="9">
        <v>49.98856</v>
      </c>
      <c r="Q910" s="9">
        <v>52.843130000000002</v>
      </c>
      <c r="R910" s="23">
        <v>34.39705</v>
      </c>
      <c r="S910" s="8">
        <v>0.1636</v>
      </c>
      <c r="T910" s="9">
        <v>0.98482999999999998</v>
      </c>
      <c r="U910" s="24">
        <v>0.36873</v>
      </c>
    </row>
    <row r="911" spans="1:21" ht="12" customHeight="1" x14ac:dyDescent="0.25">
      <c r="A911" s="5">
        <v>2345</v>
      </c>
      <c r="B911" s="19" t="s">
        <v>464</v>
      </c>
      <c r="C911" s="19" t="s">
        <v>12</v>
      </c>
      <c r="D911" s="5" t="s">
        <v>465</v>
      </c>
      <c r="E911" s="6">
        <v>367040.22775362001</v>
      </c>
      <c r="F911" s="6">
        <v>6548197.2368003996</v>
      </c>
      <c r="G911" s="7" t="str">
        <f>HYPERLINK("https://minkarta.lantmateriet.se/?e=367040,22775362&amp;n=6548197,2368004&amp;z=12&amp;profile=flygbildmedgranser&amp;background=2&amp;boundaries=true","Visa")</f>
        <v>Visa</v>
      </c>
      <c r="H911" s="5" t="s">
        <v>9</v>
      </c>
      <c r="I911" s="8">
        <v>42.54795</v>
      </c>
      <c r="J911" s="9">
        <v>46.02928</v>
      </c>
      <c r="K911" s="9">
        <v>47.557859999999998</v>
      </c>
      <c r="L911" s="14">
        <v>43.491210000000002</v>
      </c>
      <c r="M911" s="9">
        <v>46.458390000000001</v>
      </c>
      <c r="N911" s="9">
        <v>48.076349999999998</v>
      </c>
      <c r="O911" s="14">
        <v>43.64922</v>
      </c>
      <c r="P911" s="9">
        <v>46.486840000000001</v>
      </c>
      <c r="Q911" s="9">
        <v>48.105670000000003</v>
      </c>
      <c r="R911" s="23">
        <v>31.273260000000001</v>
      </c>
      <c r="S911" s="8">
        <v>0.15801000000000001</v>
      </c>
      <c r="T911" s="9">
        <v>2.845E-2</v>
      </c>
      <c r="U911" s="24">
        <v>2.9319999999999999E-2</v>
      </c>
    </row>
    <row r="912" spans="1:21" ht="12" customHeight="1" x14ac:dyDescent="0.25">
      <c r="A912" s="5">
        <v>2346</v>
      </c>
      <c r="B912" s="19" t="s">
        <v>464</v>
      </c>
      <c r="C912" s="19" t="s">
        <v>12</v>
      </c>
      <c r="D912" s="5" t="s">
        <v>465</v>
      </c>
      <c r="E912" s="6">
        <v>367030.79520267999</v>
      </c>
      <c r="F912" s="6">
        <v>6548196.1987547996</v>
      </c>
      <c r="G912" s="7" t="str">
        <f>HYPERLINK("https://minkarta.lantmateriet.se/?e=367030,79520268&amp;n=6548196,1987548&amp;z=12&amp;profile=flygbildmedgranser&amp;background=2&amp;boundaries=true","Visa")</f>
        <v>Visa</v>
      </c>
      <c r="H912" s="5" t="s">
        <v>10</v>
      </c>
      <c r="I912" s="8">
        <v>42.988689999999998</v>
      </c>
      <c r="J912" s="9">
        <v>48.010420000000003</v>
      </c>
      <c r="K912" s="9">
        <v>49.539000000000001</v>
      </c>
      <c r="L912" s="14">
        <v>43.930129999999998</v>
      </c>
      <c r="M912" s="9">
        <v>48.439529999999998</v>
      </c>
      <c r="N912" s="9">
        <v>50.057490000000001</v>
      </c>
      <c r="O912" s="14">
        <v>44.05847</v>
      </c>
      <c r="P912" s="9">
        <v>48.467979999999997</v>
      </c>
      <c r="Q912" s="9">
        <v>50.08681</v>
      </c>
      <c r="R912" s="23">
        <v>34.056930000000001</v>
      </c>
      <c r="S912" s="8">
        <v>0.12834000000000001</v>
      </c>
      <c r="T912" s="9">
        <v>2.845E-2</v>
      </c>
      <c r="U912" s="24">
        <v>2.9319999999999999E-2</v>
      </c>
    </row>
    <row r="913" spans="1:21" ht="12" customHeight="1" x14ac:dyDescent="0.25">
      <c r="A913" s="5">
        <v>2347</v>
      </c>
      <c r="B913" s="19" t="s">
        <v>464</v>
      </c>
      <c r="C913" s="19" t="s">
        <v>12</v>
      </c>
      <c r="D913" s="5" t="s">
        <v>465</v>
      </c>
      <c r="E913" s="6">
        <v>367035.09824838</v>
      </c>
      <c r="F913" s="6">
        <v>6548187.7412035996</v>
      </c>
      <c r="G913" s="7" t="str">
        <f>HYPERLINK("https://minkarta.lantmateriet.se/?e=367035,09824838&amp;n=6548187,7412036&amp;z=12&amp;profile=flygbildmedgranser&amp;background=2&amp;boundaries=true","Visa")</f>
        <v>Visa</v>
      </c>
      <c r="H913" s="5" t="s">
        <v>11</v>
      </c>
      <c r="I913" s="8">
        <v>44.084600000000002</v>
      </c>
      <c r="J913" s="9">
        <v>48.946579999999997</v>
      </c>
      <c r="K913" s="9">
        <v>50.475149999999999</v>
      </c>
      <c r="L913" s="14">
        <v>45.028790000000001</v>
      </c>
      <c r="M913" s="9">
        <v>49.375680000000003</v>
      </c>
      <c r="N913" s="9">
        <v>50.993650000000002</v>
      </c>
      <c r="O913" s="14">
        <v>45.149619999999999</v>
      </c>
      <c r="P913" s="9">
        <v>49.404130000000002</v>
      </c>
      <c r="Q913" s="9">
        <v>51.022970000000001</v>
      </c>
      <c r="R913" s="23">
        <v>34.146439999999998</v>
      </c>
      <c r="S913" s="8">
        <v>0.12083000000000001</v>
      </c>
      <c r="T913" s="9">
        <v>2.845E-2</v>
      </c>
      <c r="U913" s="24">
        <v>2.9319999999999999E-2</v>
      </c>
    </row>
    <row r="914" spans="1:21" ht="12" customHeight="1" x14ac:dyDescent="0.25">
      <c r="A914" s="5">
        <v>2348</v>
      </c>
      <c r="B914" s="19" t="s">
        <v>466</v>
      </c>
      <c r="C914" s="19" t="s">
        <v>12</v>
      </c>
      <c r="D914" s="5" t="s">
        <v>467</v>
      </c>
      <c r="E914" s="6">
        <v>367055.45931379002</v>
      </c>
      <c r="F914" s="6">
        <v>6548209.0152759999</v>
      </c>
      <c r="G914" s="7" t="str">
        <f>HYPERLINK("https://minkarta.lantmateriet.se/?e=367055,45931379&amp;n=6548209,015276&amp;z=12&amp;profile=flygbildmedgranser&amp;background=2&amp;boundaries=true","Visa")</f>
        <v>Visa</v>
      </c>
      <c r="H914" s="5" t="s">
        <v>8</v>
      </c>
      <c r="I914" s="8">
        <v>41.864780000000003</v>
      </c>
      <c r="J914" s="9">
        <v>49.495930000000001</v>
      </c>
      <c r="K914" s="9">
        <v>50.949890000000003</v>
      </c>
      <c r="L914" s="14">
        <v>42.808259999999997</v>
      </c>
      <c r="M914" s="9">
        <v>49.995429999999999</v>
      </c>
      <c r="N914" s="9">
        <v>53.466090000000001</v>
      </c>
      <c r="O914" s="14">
        <v>42.974299999999999</v>
      </c>
      <c r="P914" s="9">
        <v>50.980240000000002</v>
      </c>
      <c r="Q914" s="9">
        <v>53.834820000000001</v>
      </c>
      <c r="R914" s="23">
        <v>32.542900000000003</v>
      </c>
      <c r="S914" s="8">
        <v>0.16603999999999999</v>
      </c>
      <c r="T914" s="9">
        <v>0.98480999999999996</v>
      </c>
      <c r="U914" s="24">
        <v>0.36873</v>
      </c>
    </row>
    <row r="915" spans="1:21" ht="12" customHeight="1" x14ac:dyDescent="0.25">
      <c r="A915" s="5">
        <v>2349</v>
      </c>
      <c r="B915" s="19" t="s">
        <v>466</v>
      </c>
      <c r="C915" s="19" t="s">
        <v>12</v>
      </c>
      <c r="D915" s="5" t="s">
        <v>467</v>
      </c>
      <c r="E915" s="6">
        <v>367051.12472715002</v>
      </c>
      <c r="F915" s="6">
        <v>6548217.4943147004</v>
      </c>
      <c r="G915" s="7" t="str">
        <f>HYPERLINK("https://minkarta.lantmateriet.se/?e=367051,12472715&amp;n=6548217,4943147&amp;z=12&amp;profile=flygbildmedgranser&amp;background=2&amp;boundaries=true","Visa")</f>
        <v>Visa</v>
      </c>
      <c r="H915" s="5" t="s">
        <v>9</v>
      </c>
      <c r="I915" s="8">
        <v>42.730490000000003</v>
      </c>
      <c r="J915" s="9">
        <v>45.605249999999998</v>
      </c>
      <c r="K915" s="9">
        <v>47.133830000000003</v>
      </c>
      <c r="L915" s="14">
        <v>43.675400000000003</v>
      </c>
      <c r="M915" s="9">
        <v>46.03436</v>
      </c>
      <c r="N915" s="9">
        <v>47.652320000000003</v>
      </c>
      <c r="O915" s="14">
        <v>43.810499999999998</v>
      </c>
      <c r="P915" s="9">
        <v>46.162610000000001</v>
      </c>
      <c r="Q915" s="9">
        <v>47.781440000000003</v>
      </c>
      <c r="R915" s="23">
        <v>32.531170000000003</v>
      </c>
      <c r="S915" s="8">
        <v>0.1351</v>
      </c>
      <c r="T915" s="9">
        <v>0.12825</v>
      </c>
      <c r="U915" s="24">
        <v>0.12912000000000001</v>
      </c>
    </row>
    <row r="916" spans="1:21" ht="12" customHeight="1" x14ac:dyDescent="0.25">
      <c r="A916" s="5">
        <v>2350</v>
      </c>
      <c r="B916" s="19" t="s">
        <v>466</v>
      </c>
      <c r="C916" s="19" t="s">
        <v>12</v>
      </c>
      <c r="D916" s="5" t="s">
        <v>467</v>
      </c>
      <c r="E916" s="6">
        <v>367041.663688</v>
      </c>
      <c r="F916" s="6">
        <v>6548216.4132276</v>
      </c>
      <c r="G916" s="7" t="str">
        <f>HYPERLINK("https://minkarta.lantmateriet.se/?e=367041,663688&amp;n=6548216,4132276&amp;z=12&amp;profile=flygbildmedgranser&amp;background=2&amp;boundaries=true","Visa")</f>
        <v>Visa</v>
      </c>
      <c r="H916" s="5" t="s">
        <v>10</v>
      </c>
      <c r="I916" s="8">
        <v>42.708269999999999</v>
      </c>
      <c r="J916" s="9">
        <v>46.82732</v>
      </c>
      <c r="K916" s="9">
        <v>48.355899999999998</v>
      </c>
      <c r="L916" s="14">
        <v>43.647039999999997</v>
      </c>
      <c r="M916" s="9">
        <v>47.256430000000002</v>
      </c>
      <c r="N916" s="9">
        <v>48.874400000000001</v>
      </c>
      <c r="O916" s="14">
        <v>43.783900000000003</v>
      </c>
      <c r="P916" s="9">
        <v>47.284880000000001</v>
      </c>
      <c r="Q916" s="9">
        <v>48.90372</v>
      </c>
      <c r="R916" s="23">
        <v>36.190170000000002</v>
      </c>
      <c r="S916" s="8">
        <v>0.13686000000000001</v>
      </c>
      <c r="T916" s="9">
        <v>2.845E-2</v>
      </c>
      <c r="U916" s="24">
        <v>2.9319999999999999E-2</v>
      </c>
    </row>
    <row r="917" spans="1:21" ht="12" customHeight="1" x14ac:dyDescent="0.25">
      <c r="A917" s="5">
        <v>2351</v>
      </c>
      <c r="B917" s="19" t="s">
        <v>466</v>
      </c>
      <c r="C917" s="19" t="s">
        <v>12</v>
      </c>
      <c r="D917" s="5" t="s">
        <v>467</v>
      </c>
      <c r="E917" s="6">
        <v>367045.99827534001</v>
      </c>
      <c r="F917" s="6">
        <v>6548207.9341890002</v>
      </c>
      <c r="G917" s="7" t="str">
        <f>HYPERLINK("https://minkarta.lantmateriet.se/?e=367045,99827534&amp;n=6548207,934189&amp;z=12&amp;profile=flygbildmedgranser&amp;background=2&amp;boundaries=true","Visa")</f>
        <v>Visa</v>
      </c>
      <c r="H917" s="5" t="s">
        <v>11</v>
      </c>
      <c r="I917" s="8">
        <v>43.939860000000003</v>
      </c>
      <c r="J917" s="9">
        <v>48.806139999999999</v>
      </c>
      <c r="K917" s="9">
        <v>50.334719999999997</v>
      </c>
      <c r="L917" s="14">
        <v>44.88317</v>
      </c>
      <c r="M917" s="9">
        <v>49.235250000000001</v>
      </c>
      <c r="N917" s="9">
        <v>50.853209999999997</v>
      </c>
      <c r="O917" s="14">
        <v>44.995370000000001</v>
      </c>
      <c r="P917" s="9">
        <v>49.267679999999999</v>
      </c>
      <c r="Q917" s="9">
        <v>50.886510000000001</v>
      </c>
      <c r="R917" s="23">
        <v>32.235599999999998</v>
      </c>
      <c r="S917" s="8">
        <v>0.11219999999999999</v>
      </c>
      <c r="T917" s="9">
        <v>3.243E-2</v>
      </c>
      <c r="U917" s="24">
        <v>3.3300000000000003E-2</v>
      </c>
    </row>
    <row r="918" spans="1:21" ht="12" customHeight="1" x14ac:dyDescent="0.25">
      <c r="A918" s="5">
        <v>2352</v>
      </c>
      <c r="B918" s="19" t="s">
        <v>468</v>
      </c>
      <c r="C918" s="19" t="s">
        <v>12</v>
      </c>
      <c r="D918" s="5" t="s">
        <v>469</v>
      </c>
      <c r="E918" s="6">
        <v>367056.85273114999</v>
      </c>
      <c r="F918" s="6">
        <v>6548228.1297129001</v>
      </c>
      <c r="G918" s="7" t="str">
        <f>HYPERLINK("https://minkarta.lantmateriet.se/?e=367056,85273115&amp;n=6548228,1297129&amp;z=12&amp;profile=flygbildmedgranser&amp;background=2&amp;boundaries=true","Visa")</f>
        <v>Visa</v>
      </c>
      <c r="H918" s="5" t="s">
        <v>11</v>
      </c>
      <c r="I918" s="8">
        <v>43.725459999999998</v>
      </c>
      <c r="J918" s="9">
        <v>47.351039999999998</v>
      </c>
      <c r="K918" s="9">
        <v>48.879620000000003</v>
      </c>
      <c r="L918" s="14">
        <v>44.667000000000002</v>
      </c>
      <c r="M918" s="9">
        <v>47.780149999999999</v>
      </c>
      <c r="N918" s="9">
        <v>49.398110000000003</v>
      </c>
      <c r="O918" s="14">
        <v>44.759569999999997</v>
      </c>
      <c r="P918" s="9">
        <v>47.808599999999998</v>
      </c>
      <c r="Q918" s="9">
        <v>49.427430000000001</v>
      </c>
      <c r="R918" s="23">
        <v>36.319189999999999</v>
      </c>
      <c r="S918" s="8">
        <v>9.257E-2</v>
      </c>
      <c r="T918" s="9">
        <v>2.845E-2</v>
      </c>
      <c r="U918" s="24">
        <v>2.9319999999999999E-2</v>
      </c>
    </row>
    <row r="919" spans="1:21" ht="12" customHeight="1" x14ac:dyDescent="0.25">
      <c r="A919" s="5">
        <v>2353</v>
      </c>
      <c r="B919" s="19" t="s">
        <v>468</v>
      </c>
      <c r="C919" s="19" t="s">
        <v>12</v>
      </c>
      <c r="D919" s="5" t="s">
        <v>469</v>
      </c>
      <c r="E919" s="6">
        <v>367066.33079002</v>
      </c>
      <c r="F919" s="6">
        <v>6548229.1632319996</v>
      </c>
      <c r="G919" s="7" t="str">
        <f>HYPERLINK("https://minkarta.lantmateriet.se/?e=367066,33079002&amp;n=6548229,163232&amp;z=12&amp;profile=flygbildmedgranser&amp;background=2&amp;boundaries=true","Visa")</f>
        <v>Visa</v>
      </c>
      <c r="H919" s="5" t="s">
        <v>8</v>
      </c>
      <c r="I919" s="8">
        <v>41.83267</v>
      </c>
      <c r="J919" s="9">
        <v>50.626719999999999</v>
      </c>
      <c r="K919" s="9">
        <v>52.080689999999997</v>
      </c>
      <c r="L919" s="14">
        <v>42.765340000000002</v>
      </c>
      <c r="M919" s="9">
        <v>51.126220000000004</v>
      </c>
      <c r="N919" s="9">
        <v>54.596879999999999</v>
      </c>
      <c r="O919" s="14">
        <v>42.889989999999997</v>
      </c>
      <c r="P919" s="9">
        <v>52.111040000000003</v>
      </c>
      <c r="Q919" s="9">
        <v>54.965609999999998</v>
      </c>
      <c r="R919" s="23">
        <v>30.91112</v>
      </c>
      <c r="S919" s="8">
        <v>0.12465</v>
      </c>
      <c r="T919" s="9">
        <v>0.98482000000000003</v>
      </c>
      <c r="U919" s="24">
        <v>0.36873</v>
      </c>
    </row>
    <row r="920" spans="1:21" ht="12" customHeight="1" x14ac:dyDescent="0.25">
      <c r="A920" s="5">
        <v>2354</v>
      </c>
      <c r="B920" s="19" t="s">
        <v>468</v>
      </c>
      <c r="C920" s="19" t="s">
        <v>12</v>
      </c>
      <c r="D920" s="5" t="s">
        <v>469</v>
      </c>
      <c r="E920" s="6">
        <v>367062.03227134002</v>
      </c>
      <c r="F920" s="6">
        <v>6548237.6737908004</v>
      </c>
      <c r="G920" s="7" t="str">
        <f>HYPERLINK("https://minkarta.lantmateriet.se/?e=367062,03227134&amp;n=6548237,6737908&amp;z=12&amp;profile=flygbildmedgranser&amp;background=2&amp;boundaries=true","Visa")</f>
        <v>Visa</v>
      </c>
      <c r="H920" s="5" t="s">
        <v>9</v>
      </c>
      <c r="I920" s="8">
        <v>42.060929999999999</v>
      </c>
      <c r="J920" s="9">
        <v>47.760910000000003</v>
      </c>
      <c r="K920" s="9">
        <v>49.214869999999998</v>
      </c>
      <c r="L920" s="14">
        <v>43.000839999999997</v>
      </c>
      <c r="M920" s="9">
        <v>48.26041</v>
      </c>
      <c r="N920" s="9">
        <v>51.731059999999999</v>
      </c>
      <c r="O920" s="14">
        <v>43.130450000000003</v>
      </c>
      <c r="P920" s="9">
        <v>49.245220000000003</v>
      </c>
      <c r="Q920" s="9">
        <v>52.099800000000002</v>
      </c>
      <c r="R920" s="23">
        <v>28.01868</v>
      </c>
      <c r="S920" s="8">
        <v>0.12961</v>
      </c>
      <c r="T920" s="9">
        <v>0.98480999999999996</v>
      </c>
      <c r="U920" s="24">
        <v>0.36874000000000001</v>
      </c>
    </row>
    <row r="921" spans="1:21" ht="12" customHeight="1" x14ac:dyDescent="0.25">
      <c r="A921" s="5">
        <v>2355</v>
      </c>
      <c r="B921" s="19" t="s">
        <v>468</v>
      </c>
      <c r="C921" s="19" t="s">
        <v>12</v>
      </c>
      <c r="D921" s="5" t="s">
        <v>469</v>
      </c>
      <c r="E921" s="6">
        <v>367052.55421177001</v>
      </c>
      <c r="F921" s="6">
        <v>6548236.6402716003</v>
      </c>
      <c r="G921" s="7" t="str">
        <f>HYPERLINK("https://minkarta.lantmateriet.se/?e=367052,55421177&amp;n=6548236,6402716&amp;z=12&amp;profile=flygbildmedgranser&amp;background=2&amp;boundaries=true","Visa")</f>
        <v>Visa</v>
      </c>
      <c r="H921" s="5" t="s">
        <v>10</v>
      </c>
      <c r="I921" s="8">
        <v>41.846820000000001</v>
      </c>
      <c r="J921" s="9">
        <v>45.964410000000001</v>
      </c>
      <c r="K921" s="9">
        <v>47.492980000000003</v>
      </c>
      <c r="L921" s="14">
        <v>42.788910000000001</v>
      </c>
      <c r="M921" s="9">
        <v>46.393509999999999</v>
      </c>
      <c r="N921" s="9">
        <v>48.011479999999999</v>
      </c>
      <c r="O921" s="14">
        <v>42.941200000000002</v>
      </c>
      <c r="P921" s="9">
        <v>46.421959999999999</v>
      </c>
      <c r="Q921" s="9">
        <v>48.040799999999997</v>
      </c>
      <c r="R921" s="23">
        <v>34.028149999999997</v>
      </c>
      <c r="S921" s="8">
        <v>0.15229000000000001</v>
      </c>
      <c r="T921" s="9">
        <v>2.845E-2</v>
      </c>
      <c r="U921" s="24">
        <v>2.9319999999999999E-2</v>
      </c>
    </row>
    <row r="922" spans="1:21" ht="12" customHeight="1" x14ac:dyDescent="0.25">
      <c r="A922" s="5">
        <v>2356</v>
      </c>
      <c r="B922" s="19" t="s">
        <v>470</v>
      </c>
      <c r="C922" s="19" t="s">
        <v>12</v>
      </c>
      <c r="D922" s="5" t="s">
        <v>471</v>
      </c>
      <c r="E922" s="6">
        <v>367075.40631158999</v>
      </c>
      <c r="F922" s="6">
        <v>6548249.8337719003</v>
      </c>
      <c r="G922" s="7" t="str">
        <f>HYPERLINK("https://minkarta.lantmateriet.se/?e=367075,40631159&amp;n=6548249,8337719&amp;z=12&amp;profile=flygbildmedgranser&amp;background=2&amp;boundaries=true","Visa")</f>
        <v>Visa</v>
      </c>
      <c r="H922" s="5" t="s">
        <v>8</v>
      </c>
      <c r="I922" s="8">
        <v>39.236719999999998</v>
      </c>
      <c r="J922" s="9">
        <v>51.883780000000002</v>
      </c>
      <c r="K922" s="9">
        <v>53.33775</v>
      </c>
      <c r="L922" s="14">
        <v>40.17474</v>
      </c>
      <c r="M922" s="9">
        <v>52.383279999999999</v>
      </c>
      <c r="N922" s="9">
        <v>55.853940000000001</v>
      </c>
      <c r="O922" s="14">
        <v>40.428939999999997</v>
      </c>
      <c r="P922" s="9">
        <v>53.368099999999998</v>
      </c>
      <c r="Q922" s="9">
        <v>56.222670000000001</v>
      </c>
      <c r="R922" s="23">
        <v>35.243270000000003</v>
      </c>
      <c r="S922" s="8">
        <v>0.25419999999999998</v>
      </c>
      <c r="T922" s="9">
        <v>0.98482000000000003</v>
      </c>
      <c r="U922" s="24">
        <v>0.36873</v>
      </c>
    </row>
    <row r="923" spans="1:21" ht="12" customHeight="1" x14ac:dyDescent="0.25">
      <c r="A923" s="5">
        <v>2357</v>
      </c>
      <c r="B923" s="19" t="s">
        <v>470</v>
      </c>
      <c r="C923" s="19" t="s">
        <v>12</v>
      </c>
      <c r="D923" s="5" t="s">
        <v>471</v>
      </c>
      <c r="E923" s="6">
        <v>367071.54323179001</v>
      </c>
      <c r="F923" s="6">
        <v>6548257.1183121996</v>
      </c>
      <c r="G923" s="7" t="str">
        <f>HYPERLINK("https://minkarta.lantmateriet.se/?e=367071,54323179&amp;n=6548257,1183122&amp;z=12&amp;profile=flygbildmedgranser&amp;background=2&amp;boundaries=true","Visa")</f>
        <v>Visa</v>
      </c>
      <c r="H923" s="5" t="s">
        <v>9</v>
      </c>
      <c r="I923" s="8">
        <v>40.138950000000001</v>
      </c>
      <c r="J923" s="9">
        <v>45.599139999999998</v>
      </c>
      <c r="K923" s="9">
        <v>47.053100000000001</v>
      </c>
      <c r="L923" s="14">
        <v>41.081870000000002</v>
      </c>
      <c r="M923" s="9">
        <v>46.098640000000003</v>
      </c>
      <c r="N923" s="9">
        <v>49.569290000000002</v>
      </c>
      <c r="O923" s="14">
        <v>41.345939999999999</v>
      </c>
      <c r="P923" s="9">
        <v>47.083449999999999</v>
      </c>
      <c r="Q923" s="9">
        <v>49.938029999999998</v>
      </c>
      <c r="R923" s="23">
        <v>37.451059999999998</v>
      </c>
      <c r="S923" s="8">
        <v>0.26407000000000003</v>
      </c>
      <c r="T923" s="9">
        <v>0.98480999999999996</v>
      </c>
      <c r="U923" s="24">
        <v>0.36874000000000001</v>
      </c>
    </row>
    <row r="924" spans="1:21" ht="12" customHeight="1" x14ac:dyDescent="0.25">
      <c r="A924" s="5">
        <v>2358</v>
      </c>
      <c r="B924" s="19" t="s">
        <v>470</v>
      </c>
      <c r="C924" s="19" t="s">
        <v>12</v>
      </c>
      <c r="D924" s="5" t="s">
        <v>471</v>
      </c>
      <c r="E924" s="6">
        <v>367063.33769040997</v>
      </c>
      <c r="F924" s="6">
        <v>6548256.3142320998</v>
      </c>
      <c r="G924" s="7" t="str">
        <f>HYPERLINK("https://minkarta.lantmateriet.se/?e=367063,33769041&amp;n=6548256,3142321&amp;z=12&amp;profile=flygbildmedgranser&amp;background=2&amp;boundaries=true","Visa")</f>
        <v>Visa</v>
      </c>
      <c r="H924" s="5" t="s">
        <v>10</v>
      </c>
      <c r="I924" s="8">
        <v>41.181669999999997</v>
      </c>
      <c r="J924" s="9">
        <v>45.351059999999997</v>
      </c>
      <c r="K924" s="9">
        <v>46.879629999999999</v>
      </c>
      <c r="L924" s="14">
        <v>42.123040000000003</v>
      </c>
      <c r="M924" s="9">
        <v>45.780160000000002</v>
      </c>
      <c r="N924" s="9">
        <v>47.742609999999999</v>
      </c>
      <c r="O924" s="14">
        <v>42.271540000000002</v>
      </c>
      <c r="P924" s="9">
        <v>45.808610000000002</v>
      </c>
      <c r="Q924" s="9">
        <v>48.111350000000002</v>
      </c>
      <c r="R924" s="23">
        <v>37.570819999999998</v>
      </c>
      <c r="S924" s="8">
        <v>0.14849999999999999</v>
      </c>
      <c r="T924" s="9">
        <v>2.845E-2</v>
      </c>
      <c r="U924" s="24">
        <v>0.36874000000000001</v>
      </c>
    </row>
    <row r="925" spans="1:21" ht="12" customHeight="1" x14ac:dyDescent="0.25">
      <c r="A925" s="5">
        <v>2359</v>
      </c>
      <c r="B925" s="19" t="s">
        <v>470</v>
      </c>
      <c r="C925" s="19" t="s">
        <v>12</v>
      </c>
      <c r="D925" s="5" t="s">
        <v>471</v>
      </c>
      <c r="E925" s="6">
        <v>367067.20077021001</v>
      </c>
      <c r="F925" s="6">
        <v>6548249.0296917995</v>
      </c>
      <c r="G925" s="7" t="str">
        <f>HYPERLINK("https://minkarta.lantmateriet.se/?e=367067,20077021&amp;n=6548249,0296918&amp;z=12&amp;profile=flygbildmedgranser&amp;background=2&amp;boundaries=true","Visa")</f>
        <v>Visa</v>
      </c>
      <c r="H925" s="5" t="s">
        <v>11</v>
      </c>
      <c r="I925" s="8">
        <v>42.129469999999998</v>
      </c>
      <c r="J925" s="9">
        <v>45.090530000000001</v>
      </c>
      <c r="K925" s="9">
        <v>46.619109999999999</v>
      </c>
      <c r="L925" s="14">
        <v>43.070250000000001</v>
      </c>
      <c r="M925" s="9">
        <v>45.519629999999999</v>
      </c>
      <c r="N925" s="9">
        <v>47.137599999999999</v>
      </c>
      <c r="O925" s="14">
        <v>43.15728</v>
      </c>
      <c r="P925" s="9">
        <v>45.548079999999999</v>
      </c>
      <c r="Q925" s="9">
        <v>47.166919999999998</v>
      </c>
      <c r="R925" s="23">
        <v>35.515270000000001</v>
      </c>
      <c r="S925" s="8">
        <v>8.7029999999999996E-2</v>
      </c>
      <c r="T925" s="9">
        <v>2.845E-2</v>
      </c>
      <c r="U925" s="24">
        <v>2.9319999999999999E-2</v>
      </c>
    </row>
    <row r="926" spans="1:21" ht="12" customHeight="1" x14ac:dyDescent="0.25">
      <c r="A926" s="5">
        <v>2360</v>
      </c>
      <c r="B926" s="19" t="s">
        <v>472</v>
      </c>
      <c r="C926" s="19" t="s">
        <v>12</v>
      </c>
      <c r="D926" s="5" t="s">
        <v>473</v>
      </c>
      <c r="E926" s="6">
        <v>367086.47775427997</v>
      </c>
      <c r="F926" s="6">
        <v>6548269.7186666997</v>
      </c>
      <c r="G926" s="7" t="str">
        <f>HYPERLINK("https://minkarta.lantmateriet.se/?e=367086,47775428&amp;n=6548269,7186667&amp;z=12&amp;profile=flygbildmedgranser&amp;background=2&amp;boundaries=true","Visa")</f>
        <v>Visa</v>
      </c>
      <c r="H926" s="5" t="s">
        <v>8</v>
      </c>
      <c r="I926" s="8">
        <v>39.739600000000003</v>
      </c>
      <c r="J926" s="9">
        <v>53.364190000000001</v>
      </c>
      <c r="K926" s="9">
        <v>54.818159999999999</v>
      </c>
      <c r="L926" s="14">
        <v>40.668579999999999</v>
      </c>
      <c r="M926" s="9">
        <v>53.863689999999998</v>
      </c>
      <c r="N926" s="9">
        <v>57.334350000000001</v>
      </c>
      <c r="O926" s="14">
        <v>41.012929999999997</v>
      </c>
      <c r="P926" s="9">
        <v>54.848509999999997</v>
      </c>
      <c r="Q926" s="9">
        <v>57.70308</v>
      </c>
      <c r="R926" s="23">
        <v>33.357419999999998</v>
      </c>
      <c r="S926" s="8">
        <v>0.34434999999999999</v>
      </c>
      <c r="T926" s="9">
        <v>0.98482000000000003</v>
      </c>
      <c r="U926" s="24">
        <v>0.36873</v>
      </c>
    </row>
    <row r="927" spans="1:21" ht="12" customHeight="1" x14ac:dyDescent="0.25">
      <c r="A927" s="5">
        <v>2361</v>
      </c>
      <c r="B927" s="19" t="s">
        <v>472</v>
      </c>
      <c r="C927" s="19" t="s">
        <v>12</v>
      </c>
      <c r="D927" s="5" t="s">
        <v>473</v>
      </c>
      <c r="E927" s="6">
        <v>367082.63383707003</v>
      </c>
      <c r="F927" s="6">
        <v>6548277.0662548002</v>
      </c>
      <c r="G927" s="7" t="str">
        <f>HYPERLINK("https://minkarta.lantmateriet.se/?e=367082,63383707&amp;n=6548277,0662548&amp;z=12&amp;profile=flygbildmedgranser&amp;background=2&amp;boundaries=true","Visa")</f>
        <v>Visa</v>
      </c>
      <c r="H927" s="5" t="s">
        <v>9</v>
      </c>
      <c r="I927" s="8">
        <v>39.949010000000001</v>
      </c>
      <c r="J927" s="9">
        <v>49.878360000000001</v>
      </c>
      <c r="K927" s="9">
        <v>51.332329999999999</v>
      </c>
      <c r="L927" s="14">
        <v>40.880929999999999</v>
      </c>
      <c r="M927" s="9">
        <v>50.377859999999998</v>
      </c>
      <c r="N927" s="9">
        <v>53.848520000000001</v>
      </c>
      <c r="O927" s="14">
        <v>41.284660000000002</v>
      </c>
      <c r="P927" s="9">
        <v>51.362679999999997</v>
      </c>
      <c r="Q927" s="9">
        <v>54.21725</v>
      </c>
      <c r="R927" s="23">
        <v>37.743360000000003</v>
      </c>
      <c r="S927" s="8">
        <v>0.40372999999999998</v>
      </c>
      <c r="T927" s="9">
        <v>0.98482000000000003</v>
      </c>
      <c r="U927" s="24">
        <v>0.36873</v>
      </c>
    </row>
    <row r="928" spans="1:21" ht="12" customHeight="1" x14ac:dyDescent="0.25">
      <c r="A928" s="5">
        <v>2362</v>
      </c>
      <c r="B928" s="19" t="s">
        <v>472</v>
      </c>
      <c r="C928" s="19" t="s">
        <v>12</v>
      </c>
      <c r="D928" s="5" t="s">
        <v>473</v>
      </c>
      <c r="E928" s="6">
        <v>367074.36824772001</v>
      </c>
      <c r="F928" s="6">
        <v>6548276.4093372999</v>
      </c>
      <c r="G928" s="7" t="str">
        <f>HYPERLINK("https://minkarta.lantmateriet.se/?e=367074,36824772&amp;n=6548276,4093373&amp;z=12&amp;profile=flygbildmedgranser&amp;background=2&amp;boundaries=true","Visa")</f>
        <v>Visa</v>
      </c>
      <c r="H928" s="5" t="s">
        <v>10</v>
      </c>
      <c r="I928" s="8">
        <v>40.657159999999998</v>
      </c>
      <c r="J928" s="9">
        <v>45.557220000000001</v>
      </c>
      <c r="K928" s="9">
        <v>47.085810000000002</v>
      </c>
      <c r="L928" s="14">
        <v>41.599800000000002</v>
      </c>
      <c r="M928" s="9">
        <v>45.986339999999998</v>
      </c>
      <c r="N928" s="9">
        <v>47.604300000000002</v>
      </c>
      <c r="O928" s="14">
        <v>41.739359999999998</v>
      </c>
      <c r="P928" s="9">
        <v>46.014780000000002</v>
      </c>
      <c r="Q928" s="9">
        <v>47.633620000000001</v>
      </c>
      <c r="R928" s="23">
        <v>36.76587</v>
      </c>
      <c r="S928" s="8">
        <v>0.13955999999999999</v>
      </c>
      <c r="T928" s="9">
        <v>2.844E-2</v>
      </c>
      <c r="U928" s="24">
        <v>2.9319999999999999E-2</v>
      </c>
    </row>
    <row r="929" spans="1:21" ht="12" customHeight="1" x14ac:dyDescent="0.25">
      <c r="A929" s="5">
        <v>2364</v>
      </c>
      <c r="B929" s="19" t="s">
        <v>474</v>
      </c>
      <c r="C929" s="19" t="s">
        <v>12</v>
      </c>
      <c r="D929" s="5" t="s">
        <v>475</v>
      </c>
      <c r="E929" s="6">
        <v>367097.38227513997</v>
      </c>
      <c r="F929" s="6">
        <v>6548290.0172047</v>
      </c>
      <c r="G929" s="7" t="str">
        <f>HYPERLINK("https://minkarta.lantmateriet.se/?e=367097,38227514&amp;n=6548290,0172047&amp;z=12&amp;profile=flygbildmedgranser&amp;background=2&amp;boundaries=true","Visa")</f>
        <v>Visa</v>
      </c>
      <c r="H929" s="5" t="s">
        <v>8</v>
      </c>
      <c r="I929" s="8">
        <v>41.25018</v>
      </c>
      <c r="J929" s="9">
        <v>55.154359999999997</v>
      </c>
      <c r="K929" s="9">
        <v>56.608319999999999</v>
      </c>
      <c r="L929" s="14">
        <v>42.187890000000003</v>
      </c>
      <c r="M929" s="9">
        <v>55.653849999999998</v>
      </c>
      <c r="N929" s="9">
        <v>59.124510000000001</v>
      </c>
      <c r="O929" s="14">
        <v>42.715009999999999</v>
      </c>
      <c r="P929" s="9">
        <v>56.638669999999998</v>
      </c>
      <c r="Q929" s="9">
        <v>59.49324</v>
      </c>
      <c r="R929" s="23">
        <v>22.548369999999998</v>
      </c>
      <c r="S929" s="8">
        <v>0.52712000000000003</v>
      </c>
      <c r="T929" s="9">
        <v>0.98482000000000003</v>
      </c>
      <c r="U929" s="24">
        <v>0.36873</v>
      </c>
    </row>
    <row r="930" spans="1:21" ht="12" customHeight="1" x14ac:dyDescent="0.25">
      <c r="A930" s="5">
        <v>2365</v>
      </c>
      <c r="B930" s="19" t="s">
        <v>474</v>
      </c>
      <c r="C930" s="19" t="s">
        <v>12</v>
      </c>
      <c r="D930" s="5" t="s">
        <v>475</v>
      </c>
      <c r="E930" s="6">
        <v>367093.59029718</v>
      </c>
      <c r="F930" s="6">
        <v>6548297.3927768003</v>
      </c>
      <c r="G930" s="7" t="str">
        <f>HYPERLINK("https://minkarta.lantmateriet.se/?e=367093,59029718&amp;n=6548297,3927768&amp;z=12&amp;profile=flygbildmedgranser&amp;background=2&amp;boundaries=true","Visa")</f>
        <v>Visa</v>
      </c>
      <c r="H930" s="5" t="s">
        <v>9</v>
      </c>
      <c r="I930" s="8">
        <v>39.641919999999999</v>
      </c>
      <c r="J930" s="9">
        <v>51.004519999999999</v>
      </c>
      <c r="K930" s="9">
        <v>52.458480000000002</v>
      </c>
      <c r="L930" s="14">
        <v>40.566839999999999</v>
      </c>
      <c r="M930" s="9">
        <v>51.504010000000001</v>
      </c>
      <c r="N930" s="9">
        <v>54.974670000000003</v>
      </c>
      <c r="O930" s="14">
        <v>40.921669999999999</v>
      </c>
      <c r="P930" s="9">
        <v>52.48883</v>
      </c>
      <c r="Q930" s="9">
        <v>55.343409999999999</v>
      </c>
      <c r="R930" s="23">
        <v>29.712569999999999</v>
      </c>
      <c r="S930" s="8">
        <v>0.35482999999999998</v>
      </c>
      <c r="T930" s="9">
        <v>0.98482000000000003</v>
      </c>
      <c r="U930" s="24">
        <v>0.36874000000000001</v>
      </c>
    </row>
    <row r="931" spans="1:21" ht="12" customHeight="1" x14ac:dyDescent="0.25">
      <c r="A931" s="5">
        <v>2366</v>
      </c>
      <c r="B931" s="19" t="s">
        <v>474</v>
      </c>
      <c r="C931" s="19" t="s">
        <v>12</v>
      </c>
      <c r="D931" s="5" t="s">
        <v>475</v>
      </c>
      <c r="E931" s="6">
        <v>367085.33472545998</v>
      </c>
      <c r="F931" s="6">
        <v>6548296.6017968003</v>
      </c>
      <c r="G931" s="7" t="str">
        <f>HYPERLINK("https://minkarta.lantmateriet.se/?e=367085,33472546&amp;n=6548296,6017968&amp;z=12&amp;profile=flygbildmedgranser&amp;background=2&amp;boundaries=true","Visa")</f>
        <v>Visa</v>
      </c>
      <c r="H931" s="5" t="s">
        <v>10</v>
      </c>
      <c r="I931" s="8">
        <v>40.988819999999997</v>
      </c>
      <c r="J931" s="9">
        <v>45.136670000000002</v>
      </c>
      <c r="K931" s="9">
        <v>46.66525</v>
      </c>
      <c r="L931" s="14">
        <v>41.9268</v>
      </c>
      <c r="M931" s="9">
        <v>45.565779999999997</v>
      </c>
      <c r="N931" s="9">
        <v>47.363</v>
      </c>
      <c r="O931" s="14">
        <v>42.00656</v>
      </c>
      <c r="P931" s="9">
        <v>45.594230000000003</v>
      </c>
      <c r="Q931" s="9">
        <v>47.731740000000002</v>
      </c>
      <c r="R931" s="23">
        <v>37.204740000000001</v>
      </c>
      <c r="S931" s="8">
        <v>7.9759999999999998E-2</v>
      </c>
      <c r="T931" s="9">
        <v>2.845E-2</v>
      </c>
      <c r="U931" s="24">
        <v>0.36874000000000001</v>
      </c>
    </row>
    <row r="932" spans="1:21" ht="12" customHeight="1" x14ac:dyDescent="0.25">
      <c r="A932" s="5">
        <v>2367</v>
      </c>
      <c r="B932" s="19" t="s">
        <v>474</v>
      </c>
      <c r="C932" s="19" t="s">
        <v>12</v>
      </c>
      <c r="D932" s="5" t="s">
        <v>475</v>
      </c>
      <c r="E932" s="6">
        <v>367089.12670532003</v>
      </c>
      <c r="F932" s="6">
        <v>6548289.2262270004</v>
      </c>
      <c r="G932" s="7" t="str">
        <f>HYPERLINK("https://minkarta.lantmateriet.se/?e=367089,12670532&amp;n=6548289,226227&amp;z=12&amp;profile=flygbildmedgranser&amp;background=2&amp;boundaries=true","Visa")</f>
        <v>Visa</v>
      </c>
      <c r="H932" s="5" t="s">
        <v>11</v>
      </c>
      <c r="I932" s="8">
        <v>40.70326</v>
      </c>
      <c r="J932" s="9">
        <v>51.563920000000003</v>
      </c>
      <c r="K932" s="9">
        <v>53.017890000000001</v>
      </c>
      <c r="L932" s="14">
        <v>41.643859999999997</v>
      </c>
      <c r="M932" s="9">
        <v>52.063420000000001</v>
      </c>
      <c r="N932" s="9">
        <v>55.534080000000003</v>
      </c>
      <c r="O932" s="14">
        <v>41.812420000000003</v>
      </c>
      <c r="P932" s="9">
        <v>53.04824</v>
      </c>
      <c r="Q932" s="9">
        <v>55.902810000000002</v>
      </c>
      <c r="R932" s="23">
        <v>35.704259999999998</v>
      </c>
      <c r="S932" s="8">
        <v>0.16855999999999999</v>
      </c>
      <c r="T932" s="9">
        <v>0.98482000000000003</v>
      </c>
      <c r="U932" s="24">
        <v>0.36873</v>
      </c>
    </row>
    <row r="933" spans="1:21" ht="12" customHeight="1" x14ac:dyDescent="0.25">
      <c r="A933" s="5">
        <v>2368</v>
      </c>
      <c r="B933" s="19" t="s">
        <v>476</v>
      </c>
      <c r="C933" s="19" t="s">
        <v>12</v>
      </c>
      <c r="D933" s="5" t="s">
        <v>477</v>
      </c>
      <c r="E933" s="6">
        <v>367100.17121355003</v>
      </c>
      <c r="F933" s="6">
        <v>6548309.5837225001</v>
      </c>
      <c r="G933" s="7" t="str">
        <f>HYPERLINK("https://minkarta.lantmateriet.se/?e=367100,17121355&amp;n=6548309,5837225&amp;z=12&amp;profile=flygbildmedgranser&amp;background=2&amp;boundaries=true","Visa")</f>
        <v>Visa</v>
      </c>
      <c r="H933" s="5" t="s">
        <v>11</v>
      </c>
      <c r="I933" s="8">
        <v>41.38064</v>
      </c>
      <c r="J933" s="9">
        <v>53.198300000000003</v>
      </c>
      <c r="K933" s="9">
        <v>54.652270000000001</v>
      </c>
      <c r="L933" s="14">
        <v>42.306800000000003</v>
      </c>
      <c r="M933" s="9">
        <v>53.697800000000001</v>
      </c>
      <c r="N933" s="9">
        <v>57.168460000000003</v>
      </c>
      <c r="O933" s="14">
        <v>42.600810000000003</v>
      </c>
      <c r="P933" s="9">
        <v>54.68262</v>
      </c>
      <c r="Q933" s="9">
        <v>57.537190000000002</v>
      </c>
      <c r="R933" s="23">
        <v>32.808480000000003</v>
      </c>
      <c r="S933" s="8">
        <v>0.29400999999999999</v>
      </c>
      <c r="T933" s="9">
        <v>0.98482000000000003</v>
      </c>
      <c r="U933" s="24">
        <v>0.36873</v>
      </c>
    </row>
    <row r="934" spans="1:21" ht="12" customHeight="1" x14ac:dyDescent="0.25">
      <c r="A934" s="5">
        <v>2369</v>
      </c>
      <c r="B934" s="19" t="s">
        <v>476</v>
      </c>
      <c r="C934" s="19" t="s">
        <v>12</v>
      </c>
      <c r="D934" s="5" t="s">
        <v>477</v>
      </c>
      <c r="E934" s="6">
        <v>367108.41478071001</v>
      </c>
      <c r="F934" s="6">
        <v>6548310.2892148998</v>
      </c>
      <c r="G934" s="7" t="str">
        <f>HYPERLINK("https://minkarta.lantmateriet.se/?e=367108,41478071&amp;n=6548310,2892149&amp;z=12&amp;profile=flygbildmedgranser&amp;background=2&amp;boundaries=true","Visa")</f>
        <v>Visa</v>
      </c>
      <c r="H934" s="5" t="s">
        <v>8</v>
      </c>
      <c r="I934" s="8">
        <v>42.579169999999998</v>
      </c>
      <c r="J934" s="9">
        <v>57.519410000000001</v>
      </c>
      <c r="K934" s="9">
        <v>58.973370000000003</v>
      </c>
      <c r="L934" s="14">
        <v>43.521999999999998</v>
      </c>
      <c r="M934" s="9">
        <v>58.018909999999998</v>
      </c>
      <c r="N934" s="9">
        <v>61.489570000000001</v>
      </c>
      <c r="O934" s="14">
        <v>44.128749999999997</v>
      </c>
      <c r="P934" s="9">
        <v>59.003729999999997</v>
      </c>
      <c r="Q934" s="9">
        <v>61.8583</v>
      </c>
      <c r="R934" s="23">
        <v>24.523289999999999</v>
      </c>
      <c r="S934" s="8">
        <v>0.60675000000000001</v>
      </c>
      <c r="T934" s="9">
        <v>0.98482000000000003</v>
      </c>
      <c r="U934" s="24">
        <v>0.36873</v>
      </c>
    </row>
    <row r="935" spans="1:21" ht="12" customHeight="1" x14ac:dyDescent="0.25">
      <c r="A935" s="5">
        <v>2370</v>
      </c>
      <c r="B935" s="19" t="s">
        <v>476</v>
      </c>
      <c r="C935" s="19" t="s">
        <v>12</v>
      </c>
      <c r="D935" s="5" t="s">
        <v>477</v>
      </c>
      <c r="E935" s="6">
        <v>367104.54278845002</v>
      </c>
      <c r="F935" s="6">
        <v>6548317.6012815004</v>
      </c>
      <c r="G935" s="7" t="str">
        <f>HYPERLINK("https://minkarta.lantmateriet.se/?e=367104,54278845&amp;n=6548317,6012815&amp;z=12&amp;profile=flygbildmedgranser&amp;background=2&amp;boundaries=true","Visa")</f>
        <v>Visa</v>
      </c>
      <c r="H935" s="5" t="s">
        <v>9</v>
      </c>
      <c r="I935" s="8">
        <v>40.511290000000002</v>
      </c>
      <c r="J935" s="9">
        <v>53.231929999999998</v>
      </c>
      <c r="K935" s="9">
        <v>54.685899999999997</v>
      </c>
      <c r="L935" s="14">
        <v>41.455640000000002</v>
      </c>
      <c r="M935" s="9">
        <v>53.731430000000003</v>
      </c>
      <c r="N935" s="9">
        <v>57.202089999999998</v>
      </c>
      <c r="O935" s="14">
        <v>41.914409999999997</v>
      </c>
      <c r="P935" s="9">
        <v>54.716250000000002</v>
      </c>
      <c r="Q935" s="9">
        <v>57.570819999999998</v>
      </c>
      <c r="R935" s="23">
        <v>34.226739999999999</v>
      </c>
      <c r="S935" s="8">
        <v>0.45877000000000001</v>
      </c>
      <c r="T935" s="9">
        <v>0.98482000000000003</v>
      </c>
      <c r="U935" s="24">
        <v>0.36873</v>
      </c>
    </row>
    <row r="936" spans="1:21" ht="12" customHeight="1" x14ac:dyDescent="0.25">
      <c r="A936" s="5">
        <v>2371</v>
      </c>
      <c r="B936" s="19" t="s">
        <v>476</v>
      </c>
      <c r="C936" s="19" t="s">
        <v>12</v>
      </c>
      <c r="D936" s="5" t="s">
        <v>477</v>
      </c>
      <c r="E936" s="6">
        <v>367096.29922128998</v>
      </c>
      <c r="F936" s="6">
        <v>6548316.8957890999</v>
      </c>
      <c r="G936" s="7" t="str">
        <f>HYPERLINK("https://minkarta.lantmateriet.se/?e=367096,29922129&amp;n=6548316,8957891&amp;z=12&amp;profile=flygbildmedgranser&amp;background=2&amp;boundaries=true","Visa")</f>
        <v>Visa</v>
      </c>
      <c r="H936" s="5" t="s">
        <v>10</v>
      </c>
      <c r="I936" s="8">
        <v>41.78886</v>
      </c>
      <c r="J936" s="9">
        <v>45.499670000000002</v>
      </c>
      <c r="K936" s="9">
        <v>46.95364</v>
      </c>
      <c r="L936" s="14">
        <v>42.727029999999999</v>
      </c>
      <c r="M936" s="9">
        <v>45.999169999999999</v>
      </c>
      <c r="N936" s="9">
        <v>49.469830000000002</v>
      </c>
      <c r="O936" s="14">
        <v>42.911369999999998</v>
      </c>
      <c r="P936" s="9">
        <v>46.983989999999999</v>
      </c>
      <c r="Q936" s="9">
        <v>49.838560000000001</v>
      </c>
      <c r="R936" s="23">
        <v>40.012799999999999</v>
      </c>
      <c r="S936" s="8">
        <v>0.18434</v>
      </c>
      <c r="T936" s="9">
        <v>0.98482000000000003</v>
      </c>
      <c r="U936" s="24">
        <v>0.36873</v>
      </c>
    </row>
    <row r="937" spans="1:21" ht="12" customHeight="1" x14ac:dyDescent="0.25">
      <c r="A937" s="5">
        <v>2372</v>
      </c>
      <c r="B937" s="19" t="s">
        <v>478</v>
      </c>
      <c r="C937" s="19" t="s">
        <v>12</v>
      </c>
      <c r="D937" s="5" t="s">
        <v>479</v>
      </c>
      <c r="E937" s="6">
        <v>367119.21324623999</v>
      </c>
      <c r="F937" s="6">
        <v>6548330.4451521998</v>
      </c>
      <c r="G937" s="7" t="str">
        <f>HYPERLINK("https://minkarta.lantmateriet.se/?e=367119,21324624&amp;n=6548330,4451522&amp;z=12&amp;profile=flygbildmedgranser&amp;background=2&amp;boundaries=true","Visa")</f>
        <v>Visa</v>
      </c>
      <c r="H937" s="5" t="s">
        <v>8</v>
      </c>
      <c r="I937" s="8">
        <v>46.094279999999998</v>
      </c>
      <c r="J937" s="9">
        <v>60.754219999999997</v>
      </c>
      <c r="K937" s="9">
        <v>62.208179999999999</v>
      </c>
      <c r="L937" s="14">
        <v>47.043570000000003</v>
      </c>
      <c r="M937" s="9">
        <v>61.253720000000001</v>
      </c>
      <c r="N937" s="9">
        <v>64.724369999999993</v>
      </c>
      <c r="O937" s="14">
        <v>47.87032</v>
      </c>
      <c r="P937" s="9">
        <v>62.238529999999997</v>
      </c>
      <c r="Q937" s="9">
        <v>65.093109999999996</v>
      </c>
      <c r="R937" s="23">
        <v>24.257680000000001</v>
      </c>
      <c r="S937" s="8">
        <v>0.82674999999999998</v>
      </c>
      <c r="T937" s="9">
        <v>0.98480999999999996</v>
      </c>
      <c r="U937" s="24">
        <v>0.36874000000000001</v>
      </c>
    </row>
    <row r="938" spans="1:21" ht="12" customHeight="1" x14ac:dyDescent="0.25">
      <c r="A938" s="5">
        <v>2373</v>
      </c>
      <c r="B938" s="19" t="s">
        <v>478</v>
      </c>
      <c r="C938" s="19" t="s">
        <v>12</v>
      </c>
      <c r="D938" s="5" t="s">
        <v>479</v>
      </c>
      <c r="E938" s="6">
        <v>367115.46235013998</v>
      </c>
      <c r="F938" s="6">
        <v>6548337.7597476002</v>
      </c>
      <c r="G938" s="7" t="str">
        <f>HYPERLINK("https://minkarta.lantmateriet.se/?e=367115,46235014&amp;n=6548337,7597476&amp;z=12&amp;profile=flygbildmedgranser&amp;background=2&amp;boundaries=true","Visa")</f>
        <v>Visa</v>
      </c>
      <c r="H938" s="5" t="s">
        <v>9</v>
      </c>
      <c r="I938" s="8">
        <v>43.368639999999999</v>
      </c>
      <c r="J938" s="9">
        <v>58.708750000000002</v>
      </c>
      <c r="K938" s="9">
        <v>60.162709999999997</v>
      </c>
      <c r="L938" s="14">
        <v>44.326120000000003</v>
      </c>
      <c r="M938" s="9">
        <v>59.208240000000004</v>
      </c>
      <c r="N938" s="9">
        <v>62.678899999999999</v>
      </c>
      <c r="O938" s="14">
        <v>44.99091</v>
      </c>
      <c r="P938" s="9">
        <v>60.193060000000003</v>
      </c>
      <c r="Q938" s="9">
        <v>63.047640000000001</v>
      </c>
      <c r="R938" s="23">
        <v>37.131160000000001</v>
      </c>
      <c r="S938" s="8">
        <v>0.66478999999999999</v>
      </c>
      <c r="T938" s="9">
        <v>0.98482000000000003</v>
      </c>
      <c r="U938" s="24">
        <v>0.36874000000000001</v>
      </c>
    </row>
    <row r="939" spans="1:21" ht="12" customHeight="1" x14ac:dyDescent="0.25">
      <c r="A939" s="5">
        <v>2374</v>
      </c>
      <c r="B939" s="19" t="s">
        <v>478</v>
      </c>
      <c r="C939" s="19" t="s">
        <v>12</v>
      </c>
      <c r="D939" s="5" t="s">
        <v>479</v>
      </c>
      <c r="E939" s="6">
        <v>367107.27125529997</v>
      </c>
      <c r="F939" s="6">
        <v>6548337.0668510003</v>
      </c>
      <c r="G939" s="7" t="str">
        <f>HYPERLINK("https://minkarta.lantmateriet.se/?e=367107,2712553&amp;n=6548337,066851&amp;z=12&amp;profile=flygbildmedgranser&amp;background=2&amp;boundaries=true","Visa")</f>
        <v>Visa</v>
      </c>
      <c r="H939" s="5" t="s">
        <v>10</v>
      </c>
      <c r="I939" s="8">
        <v>42.691330000000001</v>
      </c>
      <c r="J939" s="9">
        <v>50.774340000000002</v>
      </c>
      <c r="K939" s="9">
        <v>52.22831</v>
      </c>
      <c r="L939" s="14">
        <v>43.606850000000001</v>
      </c>
      <c r="M939" s="9">
        <v>51.27384</v>
      </c>
      <c r="N939" s="9">
        <v>54.744500000000002</v>
      </c>
      <c r="O939" s="14">
        <v>43.864310000000003</v>
      </c>
      <c r="P939" s="9">
        <v>52.258659999999999</v>
      </c>
      <c r="Q939" s="9">
        <v>55.113230000000001</v>
      </c>
      <c r="R939" s="23">
        <v>34.035649999999997</v>
      </c>
      <c r="S939" s="8">
        <v>0.25746000000000002</v>
      </c>
      <c r="T939" s="9">
        <v>0.98482000000000003</v>
      </c>
      <c r="U939" s="24">
        <v>0.36873</v>
      </c>
    </row>
    <row r="940" spans="1:21" ht="12" customHeight="1" x14ac:dyDescent="0.25">
      <c r="A940" s="5">
        <v>2375</v>
      </c>
      <c r="B940" s="19" t="s">
        <v>478</v>
      </c>
      <c r="C940" s="19" t="s">
        <v>12</v>
      </c>
      <c r="D940" s="5" t="s">
        <v>479</v>
      </c>
      <c r="E940" s="6">
        <v>367111.02215154999</v>
      </c>
      <c r="F940" s="6">
        <v>6548329.7522566002</v>
      </c>
      <c r="G940" s="7" t="str">
        <f>HYPERLINK("https://minkarta.lantmateriet.se/?e=367111,02215155&amp;n=6548329,7522566&amp;z=12&amp;profile=flygbildmedgranser&amp;background=2&amp;boundaries=true","Visa")</f>
        <v>Visa</v>
      </c>
      <c r="H940" s="5" t="s">
        <v>11</v>
      </c>
      <c r="I940" s="8">
        <v>41.663780000000003</v>
      </c>
      <c r="J940" s="9">
        <v>55.438420000000001</v>
      </c>
      <c r="K940" s="9">
        <v>56.892380000000003</v>
      </c>
      <c r="L940" s="14">
        <v>42.599119999999999</v>
      </c>
      <c r="M940" s="9">
        <v>55.937910000000002</v>
      </c>
      <c r="N940" s="9">
        <v>59.408569999999997</v>
      </c>
      <c r="O940" s="14">
        <v>43.022660000000002</v>
      </c>
      <c r="P940" s="9">
        <v>56.922730000000001</v>
      </c>
      <c r="Q940" s="9">
        <v>59.77731</v>
      </c>
      <c r="R940" s="23">
        <v>33.488700000000001</v>
      </c>
      <c r="S940" s="8">
        <v>0.42354000000000003</v>
      </c>
      <c r="T940" s="9">
        <v>0.98482000000000003</v>
      </c>
      <c r="U940" s="24">
        <v>0.36874000000000001</v>
      </c>
    </row>
    <row r="941" spans="1:21" ht="12" customHeight="1" x14ac:dyDescent="0.25">
      <c r="A941" s="5">
        <v>2376</v>
      </c>
      <c r="B941" s="19" t="s">
        <v>480</v>
      </c>
      <c r="C941" s="19" t="s">
        <v>12</v>
      </c>
      <c r="D941" s="5" t="s">
        <v>481</v>
      </c>
      <c r="E941" s="6">
        <v>367122.80028441001</v>
      </c>
      <c r="F941" s="6">
        <v>6548364.8521841997</v>
      </c>
      <c r="G941" s="7" t="str">
        <f>HYPERLINK("https://minkarta.lantmateriet.se/?e=367122,80028441&amp;n=6548364,8521842&amp;z=12&amp;profile=flygbildmedgranser&amp;background=2&amp;boundaries=true","Visa")</f>
        <v>Visa</v>
      </c>
      <c r="H941" s="5" t="s">
        <v>11</v>
      </c>
      <c r="I941" s="8">
        <v>41.710039999999999</v>
      </c>
      <c r="J941" s="9">
        <v>52.048630000000003</v>
      </c>
      <c r="K941" s="9">
        <v>53.502589999999998</v>
      </c>
      <c r="L941" s="14">
        <v>42.653570000000002</v>
      </c>
      <c r="M941" s="9">
        <v>52.54813</v>
      </c>
      <c r="N941" s="9">
        <v>56.01878</v>
      </c>
      <c r="O941" s="14">
        <v>43.018439999999998</v>
      </c>
      <c r="P941" s="9">
        <v>53.532940000000004</v>
      </c>
      <c r="Q941" s="9">
        <v>56.387520000000002</v>
      </c>
      <c r="R941" s="23">
        <v>31.381720000000001</v>
      </c>
      <c r="S941" s="8">
        <v>0.36487000000000003</v>
      </c>
      <c r="T941" s="9">
        <v>0.98480999999999996</v>
      </c>
      <c r="U941" s="24">
        <v>0.36874000000000001</v>
      </c>
    </row>
    <row r="942" spans="1:21" ht="12" customHeight="1" x14ac:dyDescent="0.25">
      <c r="A942" s="5">
        <v>2377</v>
      </c>
      <c r="B942" s="19" t="s">
        <v>480</v>
      </c>
      <c r="C942" s="19" t="s">
        <v>12</v>
      </c>
      <c r="D942" s="5" t="s">
        <v>481</v>
      </c>
      <c r="E942" s="6">
        <v>367125.05368299002</v>
      </c>
      <c r="F942" s="6">
        <v>6548357.4747182</v>
      </c>
      <c r="G942" s="7" t="str">
        <f>HYPERLINK("https://minkarta.lantmateriet.se/?e=367125,05368299&amp;n=6548357,4747182&amp;z=12&amp;profile=flygbildmedgranser&amp;background=2&amp;boundaries=true","Visa")</f>
        <v>Visa</v>
      </c>
      <c r="H942" s="5" t="s">
        <v>10</v>
      </c>
      <c r="I942" s="8">
        <v>44.755580000000002</v>
      </c>
      <c r="J942" s="9">
        <v>55.046129999999998</v>
      </c>
      <c r="K942" s="9">
        <v>56.500100000000003</v>
      </c>
      <c r="L942" s="14">
        <v>45.701050000000002</v>
      </c>
      <c r="M942" s="9">
        <v>55.545630000000003</v>
      </c>
      <c r="N942" s="9">
        <v>59.016280000000002</v>
      </c>
      <c r="O942" s="14">
        <v>46.130650000000003</v>
      </c>
      <c r="P942" s="9">
        <v>56.530450000000002</v>
      </c>
      <c r="Q942" s="9">
        <v>59.385019999999997</v>
      </c>
      <c r="R942" s="23">
        <v>35.586129999999997</v>
      </c>
      <c r="S942" s="8">
        <v>0.42959999999999998</v>
      </c>
      <c r="T942" s="9">
        <v>0.98482000000000003</v>
      </c>
      <c r="U942" s="24">
        <v>0.36874000000000001</v>
      </c>
    </row>
    <row r="943" spans="1:21" ht="12" customHeight="1" x14ac:dyDescent="0.25">
      <c r="A943" s="5">
        <v>2378</v>
      </c>
      <c r="B943" s="19" t="s">
        <v>480</v>
      </c>
      <c r="C943" s="19" t="s">
        <v>12</v>
      </c>
      <c r="D943" s="5" t="s">
        <v>481</v>
      </c>
      <c r="E943" s="6">
        <v>367125.75328544999</v>
      </c>
      <c r="F943" s="6">
        <v>6548350.9061836004</v>
      </c>
      <c r="G943" s="7" t="str">
        <f>HYPERLINK("https://minkarta.lantmateriet.se/?e=367125,75328545&amp;n=6548350,9061836&amp;z=12&amp;profile=flygbildmedgranser&amp;background=2&amp;boundaries=true","Visa")</f>
        <v>Visa</v>
      </c>
      <c r="H943" s="5" t="s">
        <v>11</v>
      </c>
      <c r="I943" s="8">
        <v>47.93177</v>
      </c>
      <c r="J943" s="9">
        <v>63.223790000000001</v>
      </c>
      <c r="K943" s="9">
        <v>64.677750000000003</v>
      </c>
      <c r="L943" s="14">
        <v>48.888210000000001</v>
      </c>
      <c r="M943" s="9">
        <v>63.723280000000003</v>
      </c>
      <c r="N943" s="9">
        <v>67.193939999999998</v>
      </c>
      <c r="O943" s="14">
        <v>49.82255</v>
      </c>
      <c r="P943" s="9">
        <v>64.708100000000002</v>
      </c>
      <c r="Q943" s="9">
        <v>67.56268</v>
      </c>
      <c r="R943" s="23">
        <v>40.587629999999997</v>
      </c>
      <c r="S943" s="8">
        <v>0.93433999999999995</v>
      </c>
      <c r="T943" s="9">
        <v>0.98482000000000003</v>
      </c>
      <c r="U943" s="24">
        <v>0.36874000000000001</v>
      </c>
    </row>
    <row r="944" spans="1:21" ht="12" customHeight="1" x14ac:dyDescent="0.25">
      <c r="A944" s="5">
        <v>2379</v>
      </c>
      <c r="B944" s="19" t="s">
        <v>480</v>
      </c>
      <c r="C944" s="19" t="s">
        <v>12</v>
      </c>
      <c r="D944" s="5" t="s">
        <v>481</v>
      </c>
      <c r="E944" s="6">
        <v>367132.84131887998</v>
      </c>
      <c r="F944" s="6">
        <v>6548356.2817855002</v>
      </c>
      <c r="G944" s="7" t="str">
        <f>HYPERLINK("https://minkarta.lantmateriet.se/?e=367132,84131888&amp;n=6548356,2817855&amp;z=12&amp;profile=flygbildmedgranser&amp;background=2&amp;boundaries=true","Visa")</f>
        <v>Visa</v>
      </c>
      <c r="H944" s="5" t="s">
        <v>8</v>
      </c>
      <c r="I944" s="8">
        <v>53.963439999999999</v>
      </c>
      <c r="J944" s="9">
        <v>68.288700000000006</v>
      </c>
      <c r="K944" s="9">
        <v>69.742670000000004</v>
      </c>
      <c r="L944" s="14">
        <v>54.93647</v>
      </c>
      <c r="M944" s="9">
        <v>68.788200000000003</v>
      </c>
      <c r="N944" s="9">
        <v>72.258859999999999</v>
      </c>
      <c r="O944" s="14">
        <v>55.872140000000002</v>
      </c>
      <c r="P944" s="9">
        <v>69.773020000000002</v>
      </c>
      <c r="Q944" s="9">
        <v>72.627589999999998</v>
      </c>
      <c r="R944" s="23">
        <v>32.22784</v>
      </c>
      <c r="S944" s="8">
        <v>0.93567</v>
      </c>
      <c r="T944" s="9">
        <v>0.98482000000000003</v>
      </c>
      <c r="U944" s="24">
        <v>0.36873</v>
      </c>
    </row>
    <row r="945" spans="1:21" ht="12" customHeight="1" x14ac:dyDescent="0.25">
      <c r="A945" s="5">
        <v>2380</v>
      </c>
      <c r="B945" s="19" t="s">
        <v>480</v>
      </c>
      <c r="C945" s="19" t="s">
        <v>12</v>
      </c>
      <c r="D945" s="5" t="s">
        <v>481</v>
      </c>
      <c r="E945" s="6">
        <v>367128.54871717002</v>
      </c>
      <c r="F945" s="6">
        <v>6548367.7438200004</v>
      </c>
      <c r="G945" s="7" t="str">
        <f>HYPERLINK("https://minkarta.lantmateriet.se/?e=367128,54871717&amp;n=6548367,74382&amp;z=12&amp;profile=flygbildmedgranser&amp;background=2&amp;boundaries=true","Visa")</f>
        <v>Visa</v>
      </c>
      <c r="H945" s="5" t="s">
        <v>9</v>
      </c>
      <c r="I945" s="8">
        <v>58.312989999999999</v>
      </c>
      <c r="J945" s="9">
        <v>71.776870000000002</v>
      </c>
      <c r="K945" s="9">
        <v>73.230829999999997</v>
      </c>
      <c r="L945" s="14">
        <v>59.318460000000002</v>
      </c>
      <c r="M945" s="9">
        <v>72.27637</v>
      </c>
      <c r="N945" s="9">
        <v>75.747020000000006</v>
      </c>
      <c r="O945" s="14">
        <v>60.263350000000003</v>
      </c>
      <c r="P945" s="9">
        <v>73.261179999999996</v>
      </c>
      <c r="Q945" s="9">
        <v>76.115759999999995</v>
      </c>
      <c r="R945" s="23">
        <v>29.252680000000002</v>
      </c>
      <c r="S945" s="8">
        <v>0.94489000000000001</v>
      </c>
      <c r="T945" s="9">
        <v>0.98480999999999996</v>
      </c>
      <c r="U945" s="24">
        <v>0.36874000000000001</v>
      </c>
    </row>
    <row r="946" spans="1:21" ht="12" customHeight="1" x14ac:dyDescent="0.25">
      <c r="A946" s="5">
        <v>2381</v>
      </c>
      <c r="B946" s="19" t="s">
        <v>480</v>
      </c>
      <c r="C946" s="19" t="s">
        <v>12</v>
      </c>
      <c r="D946" s="5" t="s">
        <v>481</v>
      </c>
      <c r="E946" s="6">
        <v>367119.20318339003</v>
      </c>
      <c r="F946" s="6">
        <v>6548369.7592190001</v>
      </c>
      <c r="G946" s="7" t="str">
        <f>HYPERLINK("https://minkarta.lantmateriet.se/?e=367119,20318339&amp;n=6548369,759219&amp;z=12&amp;profile=flygbildmedgranser&amp;background=2&amp;boundaries=true","Visa")</f>
        <v>Visa</v>
      </c>
      <c r="H946" s="5" t="s">
        <v>10</v>
      </c>
      <c r="I946" s="8">
        <v>52.728029999999997</v>
      </c>
      <c r="J946" s="9">
        <v>69.316450000000003</v>
      </c>
      <c r="K946" s="9">
        <v>70.770420000000001</v>
      </c>
      <c r="L946" s="14">
        <v>53.746070000000003</v>
      </c>
      <c r="M946" s="9">
        <v>69.815960000000004</v>
      </c>
      <c r="N946" s="9">
        <v>73.286609999999996</v>
      </c>
      <c r="O946" s="14">
        <v>54.666939999999997</v>
      </c>
      <c r="P946" s="9">
        <v>70.80077</v>
      </c>
      <c r="Q946" s="9">
        <v>73.655349999999999</v>
      </c>
      <c r="R946" s="23">
        <v>30.22983</v>
      </c>
      <c r="S946" s="8">
        <v>0.92086999999999997</v>
      </c>
      <c r="T946" s="9">
        <v>0.98480999999999996</v>
      </c>
      <c r="U946" s="24">
        <v>0.36874000000000001</v>
      </c>
    </row>
    <row r="947" spans="1:21" ht="12" customHeight="1" x14ac:dyDescent="0.25">
      <c r="A947" s="5">
        <v>2382</v>
      </c>
      <c r="B947" s="19" t="s">
        <v>482</v>
      </c>
      <c r="C947" s="19" t="s">
        <v>12</v>
      </c>
      <c r="D947" s="5" t="s">
        <v>483</v>
      </c>
      <c r="E947" s="6">
        <v>367094.11598059</v>
      </c>
      <c r="F947" s="6">
        <v>6548376.9797366997</v>
      </c>
      <c r="G947" s="7" t="str">
        <f>HYPERLINK("https://minkarta.lantmateriet.se/?e=367094,11598059&amp;n=6548376,9797367&amp;z=12&amp;profile=flygbildmedgranser&amp;background=2&amp;boundaries=true","Visa")</f>
        <v>Visa</v>
      </c>
      <c r="H947" s="5" t="s">
        <v>10</v>
      </c>
      <c r="I947" s="8">
        <v>42.741720000000001</v>
      </c>
      <c r="J947" s="9">
        <v>53.9056</v>
      </c>
      <c r="K947" s="9">
        <v>55.359569999999998</v>
      </c>
      <c r="L947" s="14">
        <v>43.677320000000002</v>
      </c>
      <c r="M947" s="9">
        <v>54.405099999999997</v>
      </c>
      <c r="N947" s="9">
        <v>57.87576</v>
      </c>
      <c r="O947" s="14">
        <v>44.004779999999997</v>
      </c>
      <c r="P947" s="9">
        <v>55.389919999999996</v>
      </c>
      <c r="Q947" s="9">
        <v>58.244489999999999</v>
      </c>
      <c r="R947" s="23">
        <v>36.786270000000002</v>
      </c>
      <c r="S947" s="8">
        <v>0.32745999999999997</v>
      </c>
      <c r="T947" s="9">
        <v>0.98482000000000003</v>
      </c>
      <c r="U947" s="24">
        <v>0.36873</v>
      </c>
    </row>
    <row r="948" spans="1:21" ht="12" customHeight="1" x14ac:dyDescent="0.25">
      <c r="A948" s="5">
        <v>2383</v>
      </c>
      <c r="B948" s="19" t="s">
        <v>482</v>
      </c>
      <c r="C948" s="19" t="s">
        <v>12</v>
      </c>
      <c r="D948" s="5" t="s">
        <v>483</v>
      </c>
      <c r="E948" s="6">
        <v>367095.07376747997</v>
      </c>
      <c r="F948" s="6">
        <v>6548370.4399808003</v>
      </c>
      <c r="G948" s="7" t="str">
        <f>HYPERLINK("https://minkarta.lantmateriet.se/?e=367095,07376748&amp;n=6548370,4399808&amp;z=12&amp;profile=flygbildmedgranser&amp;background=2&amp;boundaries=true","Visa")</f>
        <v>Visa</v>
      </c>
      <c r="H948" s="5" t="s">
        <v>11</v>
      </c>
      <c r="I948" s="8">
        <v>40.411479999999997</v>
      </c>
      <c r="J948" s="9">
        <v>46.798360000000002</v>
      </c>
      <c r="K948" s="9">
        <v>48.252319999999997</v>
      </c>
      <c r="L948" s="14">
        <v>41.337809999999998</v>
      </c>
      <c r="M948" s="9">
        <v>47.297849999999997</v>
      </c>
      <c r="N948" s="9">
        <v>50.768509999999999</v>
      </c>
      <c r="O948" s="14">
        <v>41.755339999999997</v>
      </c>
      <c r="P948" s="9">
        <v>48.282670000000003</v>
      </c>
      <c r="Q948" s="9">
        <v>51.137250000000002</v>
      </c>
      <c r="R948" s="23">
        <v>42.11992</v>
      </c>
      <c r="S948" s="8">
        <v>0.41753000000000001</v>
      </c>
      <c r="T948" s="9">
        <v>0.98482000000000003</v>
      </c>
      <c r="U948" s="24">
        <v>0.36874000000000001</v>
      </c>
    </row>
    <row r="949" spans="1:21" ht="12" customHeight="1" x14ac:dyDescent="0.25">
      <c r="A949" s="5">
        <v>2384</v>
      </c>
      <c r="B949" s="19" t="s">
        <v>482</v>
      </c>
      <c r="C949" s="19" t="s">
        <v>12</v>
      </c>
      <c r="D949" s="5" t="s">
        <v>483</v>
      </c>
      <c r="E949" s="6">
        <v>367102.91252129001</v>
      </c>
      <c r="F949" s="6">
        <v>6548375.0997671001</v>
      </c>
      <c r="G949" s="7" t="str">
        <f>HYPERLINK("https://minkarta.lantmateriet.se/?e=367102,91252129&amp;n=6548375,0997671&amp;z=12&amp;profile=flygbildmedgranser&amp;background=2&amp;boundaries=true","Visa")</f>
        <v>Visa</v>
      </c>
      <c r="H949" s="5" t="s">
        <v>8</v>
      </c>
      <c r="I949" s="8">
        <v>52.277569999999997</v>
      </c>
      <c r="J949" s="9">
        <v>67.084879999999998</v>
      </c>
      <c r="K949" s="9">
        <v>68.538849999999996</v>
      </c>
      <c r="L949" s="14">
        <v>53.285820000000001</v>
      </c>
      <c r="M949" s="9">
        <v>67.584379999999996</v>
      </c>
      <c r="N949" s="9">
        <v>71.055040000000005</v>
      </c>
      <c r="O949" s="14">
        <v>54.197890000000001</v>
      </c>
      <c r="P949" s="9">
        <v>68.569199999999995</v>
      </c>
      <c r="Q949" s="9">
        <v>71.423770000000005</v>
      </c>
      <c r="R949" s="23">
        <v>24.656199999999998</v>
      </c>
      <c r="S949" s="8">
        <v>0.91207000000000005</v>
      </c>
      <c r="T949" s="9">
        <v>0.98482000000000003</v>
      </c>
      <c r="U949" s="24">
        <v>0.36873</v>
      </c>
    </row>
    <row r="950" spans="1:21" ht="12" customHeight="1" x14ac:dyDescent="0.25">
      <c r="A950" s="5">
        <v>2385</v>
      </c>
      <c r="B950" s="19" t="s">
        <v>482</v>
      </c>
      <c r="C950" s="19" t="s">
        <v>12</v>
      </c>
      <c r="D950" s="5" t="s">
        <v>483</v>
      </c>
      <c r="E950" s="6">
        <v>367101.23973522999</v>
      </c>
      <c r="F950" s="6">
        <v>6548385.6020227</v>
      </c>
      <c r="G950" s="7" t="str">
        <f>HYPERLINK("https://minkarta.lantmateriet.se/?e=367101,23973523&amp;n=6548385,6020227&amp;z=12&amp;profile=flygbildmedgranser&amp;background=2&amp;boundaries=true","Visa")</f>
        <v>Visa</v>
      </c>
      <c r="H950" s="5" t="s">
        <v>9</v>
      </c>
      <c r="I950" s="8">
        <v>58.360770000000002</v>
      </c>
      <c r="J950" s="9">
        <v>71.467140000000001</v>
      </c>
      <c r="K950" s="9">
        <v>72.921099999999996</v>
      </c>
      <c r="L950" s="14">
        <v>59.38205</v>
      </c>
      <c r="M950" s="9">
        <v>71.966639999999998</v>
      </c>
      <c r="N950" s="9">
        <v>75.437290000000004</v>
      </c>
      <c r="O950" s="14">
        <v>60.328310000000002</v>
      </c>
      <c r="P950" s="9">
        <v>72.951449999999994</v>
      </c>
      <c r="Q950" s="9">
        <v>75.806030000000007</v>
      </c>
      <c r="R950" s="23">
        <v>30.237220000000001</v>
      </c>
      <c r="S950" s="8">
        <v>0.94625999999999999</v>
      </c>
      <c r="T950" s="9">
        <v>0.98480999999999996</v>
      </c>
      <c r="U950" s="24">
        <v>0.36874000000000001</v>
      </c>
    </row>
    <row r="951" spans="1:21" ht="12" customHeight="1" x14ac:dyDescent="0.25">
      <c r="A951" s="5">
        <v>2386</v>
      </c>
      <c r="B951" s="19" t="s">
        <v>482</v>
      </c>
      <c r="C951" s="19" t="s">
        <v>12</v>
      </c>
      <c r="D951" s="5" t="s">
        <v>483</v>
      </c>
      <c r="E951" s="6">
        <v>367093.76398047002</v>
      </c>
      <c r="F951" s="6">
        <v>6548386.6592365997</v>
      </c>
      <c r="G951" s="7" t="str">
        <f>HYPERLINK("https://minkarta.lantmateriet.se/?e=367093,76398047&amp;n=6548386,6592366&amp;z=12&amp;profile=flygbildmedgranser&amp;background=2&amp;boundaries=true","Visa")</f>
        <v>Visa</v>
      </c>
      <c r="H951" s="5" t="s">
        <v>10</v>
      </c>
      <c r="I951" s="8">
        <v>53.073779999999999</v>
      </c>
      <c r="J951" s="9">
        <v>68.011380000000003</v>
      </c>
      <c r="K951" s="9">
        <v>69.465350000000001</v>
      </c>
      <c r="L951" s="14">
        <v>54.104759999999999</v>
      </c>
      <c r="M951" s="9">
        <v>68.51088</v>
      </c>
      <c r="N951" s="9">
        <v>71.981539999999995</v>
      </c>
      <c r="O951" s="14">
        <v>55.00714</v>
      </c>
      <c r="P951" s="9">
        <v>69.495699999999999</v>
      </c>
      <c r="Q951" s="9">
        <v>72.350269999999995</v>
      </c>
      <c r="R951" s="23">
        <v>32.088630000000002</v>
      </c>
      <c r="S951" s="8">
        <v>0.90237999999999996</v>
      </c>
      <c r="T951" s="9">
        <v>0.98482000000000003</v>
      </c>
      <c r="U951" s="24">
        <v>0.36873</v>
      </c>
    </row>
    <row r="952" spans="1:21" ht="12" customHeight="1" x14ac:dyDescent="0.25">
      <c r="A952" s="5">
        <v>2387</v>
      </c>
      <c r="B952" s="19" t="s">
        <v>482</v>
      </c>
      <c r="C952" s="19" t="s">
        <v>12</v>
      </c>
      <c r="D952" s="5" t="s">
        <v>483</v>
      </c>
      <c r="E952" s="6">
        <v>367094.48226699</v>
      </c>
      <c r="F952" s="6">
        <v>6548382.6829810999</v>
      </c>
      <c r="G952" s="7" t="str">
        <f>HYPERLINK("https://minkarta.lantmateriet.se/?e=367094,48226699&amp;n=6548382,6829811&amp;z=12&amp;profile=flygbildmedgranser&amp;background=2&amp;boundaries=true","Visa")</f>
        <v>Visa</v>
      </c>
      <c r="H952" s="5" t="s">
        <v>11</v>
      </c>
      <c r="I952" s="8">
        <v>41.96584</v>
      </c>
      <c r="J952" s="9">
        <v>45.887990000000002</v>
      </c>
      <c r="K952" s="9">
        <v>47.34196</v>
      </c>
      <c r="L952" s="14">
        <v>42.890099999999997</v>
      </c>
      <c r="M952" s="9">
        <v>46.38749</v>
      </c>
      <c r="N952" s="9">
        <v>49.858150000000002</v>
      </c>
      <c r="O952" s="14">
        <v>42.974209999999999</v>
      </c>
      <c r="P952" s="9">
        <v>47.372309999999999</v>
      </c>
      <c r="Q952" s="9">
        <v>50.226880000000001</v>
      </c>
      <c r="R952" s="23">
        <v>35.5486</v>
      </c>
      <c r="S952" s="8">
        <v>8.4110000000000004E-2</v>
      </c>
      <c r="T952" s="9">
        <v>0.98482000000000003</v>
      </c>
      <c r="U952" s="24">
        <v>0.36873</v>
      </c>
    </row>
    <row r="953" spans="1:21" ht="12" customHeight="1" x14ac:dyDescent="0.25">
      <c r="A953" s="5">
        <v>2388</v>
      </c>
      <c r="B953" s="19" t="s">
        <v>484</v>
      </c>
      <c r="C953" s="19" t="s">
        <v>12</v>
      </c>
      <c r="D953" s="5" t="s">
        <v>485</v>
      </c>
      <c r="E953" s="6">
        <v>367080.97993854998</v>
      </c>
      <c r="F953" s="6">
        <v>6548388.1196347</v>
      </c>
      <c r="G953" s="7" t="str">
        <f>HYPERLINK("https://minkarta.lantmateriet.se/?e=367080,97993855&amp;n=6548388,1196347&amp;z=12&amp;profile=flygbildmedgranser&amp;background=2&amp;boundaries=true","Visa")</f>
        <v>Visa</v>
      </c>
      <c r="H953" s="5" t="s">
        <v>8</v>
      </c>
      <c r="I953" s="8">
        <v>44.094259999999998</v>
      </c>
      <c r="J953" s="9">
        <v>58.862870000000001</v>
      </c>
      <c r="K953" s="9">
        <v>60.316830000000003</v>
      </c>
      <c r="L953" s="14">
        <v>45.064399999999999</v>
      </c>
      <c r="M953" s="9">
        <v>59.362369999999999</v>
      </c>
      <c r="N953" s="9">
        <v>62.833019999999998</v>
      </c>
      <c r="O953" s="14">
        <v>45.486629999999998</v>
      </c>
      <c r="P953" s="9">
        <v>60.347180000000002</v>
      </c>
      <c r="Q953" s="9">
        <v>63.20176</v>
      </c>
      <c r="R953" s="23">
        <v>33.699069999999999</v>
      </c>
      <c r="S953" s="8">
        <v>0.42222999999999999</v>
      </c>
      <c r="T953" s="9">
        <v>0.98480999999999996</v>
      </c>
      <c r="U953" s="24">
        <v>0.36874000000000001</v>
      </c>
    </row>
    <row r="954" spans="1:21" ht="12" customHeight="1" x14ac:dyDescent="0.25">
      <c r="A954" s="5">
        <v>2389</v>
      </c>
      <c r="B954" s="19" t="s">
        <v>484</v>
      </c>
      <c r="C954" s="19" t="s">
        <v>12</v>
      </c>
      <c r="D954" s="5" t="s">
        <v>485</v>
      </c>
      <c r="E954" s="6">
        <v>367081.08436846</v>
      </c>
      <c r="F954" s="6">
        <v>6548396.6714393999</v>
      </c>
      <c r="G954" s="7" t="str">
        <f>HYPERLINK("https://minkarta.lantmateriet.se/?e=367081,08436846&amp;n=6548396,6714394&amp;z=12&amp;profile=flygbildmedgranser&amp;background=2&amp;boundaries=true","Visa")</f>
        <v>Visa</v>
      </c>
      <c r="H954" s="5" t="s">
        <v>9</v>
      </c>
      <c r="I954" s="8">
        <v>57.170299999999997</v>
      </c>
      <c r="J954" s="9">
        <v>70.467420000000004</v>
      </c>
      <c r="K954" s="9">
        <v>71.921390000000002</v>
      </c>
      <c r="L954" s="14">
        <v>58.215719999999997</v>
      </c>
      <c r="M954" s="9">
        <v>70.966920000000002</v>
      </c>
      <c r="N954" s="9">
        <v>74.437579999999997</v>
      </c>
      <c r="O954" s="14">
        <v>59.155200000000001</v>
      </c>
      <c r="P954" s="9">
        <v>71.951740000000001</v>
      </c>
      <c r="Q954" s="9">
        <v>74.806309999999996</v>
      </c>
      <c r="R954" s="23">
        <v>31.31588</v>
      </c>
      <c r="S954" s="8">
        <v>0.93947999999999998</v>
      </c>
      <c r="T954" s="9">
        <v>0.98482000000000003</v>
      </c>
      <c r="U954" s="24">
        <v>0.36873</v>
      </c>
    </row>
    <row r="955" spans="1:21" ht="12" customHeight="1" x14ac:dyDescent="0.25">
      <c r="A955" s="5">
        <v>2390</v>
      </c>
      <c r="B955" s="19" t="s">
        <v>484</v>
      </c>
      <c r="C955" s="19" t="s">
        <v>12</v>
      </c>
      <c r="D955" s="5" t="s">
        <v>485</v>
      </c>
      <c r="E955" s="6">
        <v>367073.38256355998</v>
      </c>
      <c r="F955" s="6">
        <v>6548392.9518694999</v>
      </c>
      <c r="G955" s="7" t="str">
        <f>HYPERLINK("https://minkarta.lantmateriet.se/?e=367073,38256356&amp;n=6548392,9518695&amp;z=12&amp;profile=flygbildmedgranser&amp;background=2&amp;boundaries=true","Visa")</f>
        <v>Visa</v>
      </c>
      <c r="H955" s="5" t="s">
        <v>10</v>
      </c>
      <c r="I955" s="8">
        <v>50.540379999999999</v>
      </c>
      <c r="J955" s="9">
        <v>65.218770000000006</v>
      </c>
      <c r="K955" s="9">
        <v>66.672740000000005</v>
      </c>
      <c r="L955" s="14">
        <v>51.570160000000001</v>
      </c>
      <c r="M955" s="9">
        <v>65.718270000000004</v>
      </c>
      <c r="N955" s="9">
        <v>69.188929999999999</v>
      </c>
      <c r="O955" s="14">
        <v>52.465609999999998</v>
      </c>
      <c r="P955" s="9">
        <v>66.703090000000003</v>
      </c>
      <c r="Q955" s="9">
        <v>69.557659999999998</v>
      </c>
      <c r="R955" s="23">
        <v>38.083019999999998</v>
      </c>
      <c r="S955" s="8">
        <v>0.89544999999999997</v>
      </c>
      <c r="T955" s="9">
        <v>0.98482000000000003</v>
      </c>
      <c r="U955" s="24">
        <v>0.36873</v>
      </c>
    </row>
    <row r="956" spans="1:21" ht="12" customHeight="1" x14ac:dyDescent="0.25">
      <c r="A956" s="5">
        <v>2391</v>
      </c>
      <c r="B956" s="19" t="s">
        <v>484</v>
      </c>
      <c r="C956" s="19" t="s">
        <v>12</v>
      </c>
      <c r="D956" s="5" t="s">
        <v>485</v>
      </c>
      <c r="E956" s="6">
        <v>367073.27813484002</v>
      </c>
      <c r="F956" s="6">
        <v>6548384.4000637</v>
      </c>
      <c r="G956" s="7" t="str">
        <f>HYPERLINK("https://minkarta.lantmateriet.se/?e=367073,27813484&amp;n=6548384,4000637&amp;z=12&amp;profile=flygbildmedgranser&amp;background=2&amp;boundaries=true","Visa")</f>
        <v>Visa</v>
      </c>
      <c r="H956" s="5" t="s">
        <v>11</v>
      </c>
      <c r="I956" s="8">
        <v>40.542499999999997</v>
      </c>
      <c r="J956" s="9">
        <v>48.31362</v>
      </c>
      <c r="K956" s="9">
        <v>49.767580000000002</v>
      </c>
      <c r="L956" s="14">
        <v>41.483870000000003</v>
      </c>
      <c r="M956" s="9">
        <v>48.813110000000002</v>
      </c>
      <c r="N956" s="9">
        <v>52.283769999999997</v>
      </c>
      <c r="O956" s="14">
        <v>42.029519999999998</v>
      </c>
      <c r="P956" s="9">
        <v>49.797930000000001</v>
      </c>
      <c r="Q956" s="9">
        <v>52.652509999999999</v>
      </c>
      <c r="R956" s="23">
        <v>43.237929999999999</v>
      </c>
      <c r="S956" s="8">
        <v>0.54564999999999997</v>
      </c>
      <c r="T956" s="9">
        <v>0.98482000000000003</v>
      </c>
      <c r="U956" s="24">
        <v>0.36874000000000001</v>
      </c>
    </row>
    <row r="957" spans="1:21" ht="12" customHeight="1" x14ac:dyDescent="0.25">
      <c r="A957" s="5">
        <v>2392</v>
      </c>
      <c r="B957" s="19" t="s">
        <v>486</v>
      </c>
      <c r="C957" s="19" t="s">
        <v>12</v>
      </c>
      <c r="D957" s="5" t="s">
        <v>487</v>
      </c>
      <c r="E957" s="6">
        <v>367059.92544626998</v>
      </c>
      <c r="F957" s="6">
        <v>6548401.5471468996</v>
      </c>
      <c r="G957" s="7" t="str">
        <f>HYPERLINK("https://minkarta.lantmateriet.se/?e=367059,92544627&amp;n=6548401,5471469&amp;z=12&amp;profile=flygbildmedgranser&amp;background=2&amp;boundaries=true","Visa")</f>
        <v>Visa</v>
      </c>
      <c r="H957" s="5" t="s">
        <v>8</v>
      </c>
      <c r="I957" s="8">
        <v>45.672629999999998</v>
      </c>
      <c r="J957" s="9">
        <v>58.476889999999997</v>
      </c>
      <c r="K957" s="9">
        <v>59.93085</v>
      </c>
      <c r="L957" s="14">
        <v>46.655320000000003</v>
      </c>
      <c r="M957" s="9">
        <v>58.976390000000002</v>
      </c>
      <c r="N957" s="9">
        <v>62.447040000000001</v>
      </c>
      <c r="O957" s="14">
        <v>47.24295</v>
      </c>
      <c r="P957" s="9">
        <v>59.961199999999998</v>
      </c>
      <c r="Q957" s="9">
        <v>62.815779999999997</v>
      </c>
      <c r="R957" s="23">
        <v>38.101570000000002</v>
      </c>
      <c r="S957" s="8">
        <v>0.58762999999999999</v>
      </c>
      <c r="T957" s="9">
        <v>0.98480999999999996</v>
      </c>
      <c r="U957" s="24">
        <v>0.36874000000000001</v>
      </c>
    </row>
    <row r="958" spans="1:21" ht="12" customHeight="1" x14ac:dyDescent="0.25">
      <c r="A958" s="5">
        <v>2393</v>
      </c>
      <c r="B958" s="19" t="s">
        <v>486</v>
      </c>
      <c r="C958" s="19" t="s">
        <v>12</v>
      </c>
      <c r="D958" s="5" t="s">
        <v>487</v>
      </c>
      <c r="E958" s="6">
        <v>367059.99035641999</v>
      </c>
      <c r="F958" s="6">
        <v>6548410.0994471004</v>
      </c>
      <c r="G958" s="7" t="str">
        <f>HYPERLINK("https://minkarta.lantmateriet.se/?e=367059,99035642&amp;n=6548410,0994471&amp;z=12&amp;profile=flygbildmedgranser&amp;background=2&amp;boundaries=true","Visa")</f>
        <v>Visa</v>
      </c>
      <c r="H958" s="5" t="s">
        <v>9</v>
      </c>
      <c r="I958" s="8">
        <v>57.536250000000003</v>
      </c>
      <c r="J958" s="9">
        <v>71.217860000000002</v>
      </c>
      <c r="K958" s="9">
        <v>72.671819999999997</v>
      </c>
      <c r="L958" s="14">
        <v>58.562660000000001</v>
      </c>
      <c r="M958" s="9">
        <v>71.717349999999996</v>
      </c>
      <c r="N958" s="9">
        <v>75.188010000000006</v>
      </c>
      <c r="O958" s="14">
        <v>59.504260000000002</v>
      </c>
      <c r="P958" s="9">
        <v>72.702169999999995</v>
      </c>
      <c r="Q958" s="9">
        <v>75.556749999999994</v>
      </c>
      <c r="R958" s="23">
        <v>32.593910000000001</v>
      </c>
      <c r="S958" s="8">
        <v>0.94159999999999999</v>
      </c>
      <c r="T958" s="9">
        <v>0.98482000000000003</v>
      </c>
      <c r="U958" s="24">
        <v>0.36874000000000001</v>
      </c>
    </row>
    <row r="959" spans="1:21" ht="12" customHeight="1" x14ac:dyDescent="0.25">
      <c r="A959" s="5">
        <v>2394</v>
      </c>
      <c r="B959" s="19" t="s">
        <v>486</v>
      </c>
      <c r="C959" s="19" t="s">
        <v>12</v>
      </c>
      <c r="D959" s="5" t="s">
        <v>487</v>
      </c>
      <c r="E959" s="6">
        <v>367052.28205624002</v>
      </c>
      <c r="F959" s="6">
        <v>6548406.3943579001</v>
      </c>
      <c r="G959" s="7" t="str">
        <f>HYPERLINK("https://minkarta.lantmateriet.se/?e=367052,28205624&amp;n=6548406,3943579&amp;z=12&amp;profile=flygbildmedgranser&amp;background=2&amp;boundaries=true","Visa")</f>
        <v>Visa</v>
      </c>
      <c r="H959" s="5" t="s">
        <v>10</v>
      </c>
      <c r="I959" s="8">
        <v>51.478679999999997</v>
      </c>
      <c r="J959" s="9">
        <v>65.792469999999994</v>
      </c>
      <c r="K959" s="9">
        <v>67.246430000000004</v>
      </c>
      <c r="L959" s="14">
        <v>52.48997</v>
      </c>
      <c r="M959" s="9">
        <v>66.291960000000003</v>
      </c>
      <c r="N959" s="9">
        <v>69.762619999999998</v>
      </c>
      <c r="O959" s="14">
        <v>53.401940000000003</v>
      </c>
      <c r="P959" s="9">
        <v>67.276780000000002</v>
      </c>
      <c r="Q959" s="9">
        <v>70.131360000000001</v>
      </c>
      <c r="R959" s="23">
        <v>39.215710000000001</v>
      </c>
      <c r="S959" s="8">
        <v>0.91196999999999995</v>
      </c>
      <c r="T959" s="9">
        <v>0.98482000000000003</v>
      </c>
      <c r="U959" s="24">
        <v>0.36874000000000001</v>
      </c>
    </row>
    <row r="960" spans="1:21" ht="12" customHeight="1" x14ac:dyDescent="0.25">
      <c r="A960" s="5">
        <v>2395</v>
      </c>
      <c r="B960" s="19" t="s">
        <v>486</v>
      </c>
      <c r="C960" s="19" t="s">
        <v>12</v>
      </c>
      <c r="D960" s="5" t="s">
        <v>487</v>
      </c>
      <c r="E960" s="6">
        <v>367052.21714528999</v>
      </c>
      <c r="F960" s="6">
        <v>6548397.8420570996</v>
      </c>
      <c r="G960" s="7" t="str">
        <f>HYPERLINK("https://minkarta.lantmateriet.se/?e=367052,21714529&amp;n=6548397,8420571&amp;z=12&amp;profile=flygbildmedgranser&amp;background=2&amp;boundaries=true","Visa")</f>
        <v>Visa</v>
      </c>
      <c r="H960" s="5" t="s">
        <v>11</v>
      </c>
      <c r="I960" s="8">
        <v>42.251620000000003</v>
      </c>
      <c r="J960" s="9">
        <v>49.836129999999997</v>
      </c>
      <c r="K960" s="9">
        <v>51.290100000000002</v>
      </c>
      <c r="L960" s="14">
        <v>43.190260000000002</v>
      </c>
      <c r="M960" s="9">
        <v>50.335630000000002</v>
      </c>
      <c r="N960" s="9">
        <v>53.806289999999997</v>
      </c>
      <c r="O960" s="14">
        <v>43.679040000000001</v>
      </c>
      <c r="P960" s="9">
        <v>51.320450000000001</v>
      </c>
      <c r="Q960" s="9">
        <v>54.175020000000004</v>
      </c>
      <c r="R960" s="23">
        <v>44.267249999999997</v>
      </c>
      <c r="S960" s="8">
        <v>0.48877999999999999</v>
      </c>
      <c r="T960" s="9">
        <v>0.98482000000000003</v>
      </c>
      <c r="U960" s="24">
        <v>0.36873</v>
      </c>
    </row>
    <row r="961" spans="1:21" ht="12" customHeight="1" x14ac:dyDescent="0.25">
      <c r="A961" s="5">
        <v>2396</v>
      </c>
      <c r="B961" s="19" t="s">
        <v>488</v>
      </c>
      <c r="C961" s="19" t="s">
        <v>12</v>
      </c>
      <c r="D961" s="5" t="s">
        <v>489</v>
      </c>
      <c r="E961" s="6">
        <v>367038.86494623002</v>
      </c>
      <c r="F961" s="6">
        <v>6548414.8816467999</v>
      </c>
      <c r="G961" s="7" t="str">
        <f>HYPERLINK("https://minkarta.lantmateriet.se/?e=367038,86494623&amp;n=6548414,8816468&amp;z=12&amp;profile=flygbildmedgranser&amp;background=2&amp;boundaries=true","Visa")</f>
        <v>Visa</v>
      </c>
      <c r="H961" s="5" t="s">
        <v>8</v>
      </c>
      <c r="I961" s="8">
        <v>45.639789999999998</v>
      </c>
      <c r="J961" s="9">
        <v>59.117310000000003</v>
      </c>
      <c r="K961" s="9">
        <v>60.571269999999998</v>
      </c>
      <c r="L961" s="14">
        <v>46.638719999999999</v>
      </c>
      <c r="M961" s="9">
        <v>59.616799999999998</v>
      </c>
      <c r="N961" s="9">
        <v>63.08746</v>
      </c>
      <c r="O961" s="14">
        <v>47.357700000000001</v>
      </c>
      <c r="P961" s="9">
        <v>60.601619999999997</v>
      </c>
      <c r="Q961" s="9">
        <v>63.456200000000003</v>
      </c>
      <c r="R961" s="23">
        <v>41.724170000000001</v>
      </c>
      <c r="S961" s="8">
        <v>0.71897999999999995</v>
      </c>
      <c r="T961" s="9">
        <v>0.98482000000000003</v>
      </c>
      <c r="U961" s="24">
        <v>0.36874000000000001</v>
      </c>
    </row>
    <row r="962" spans="1:21" ht="12" customHeight="1" x14ac:dyDescent="0.25">
      <c r="A962" s="5">
        <v>2397</v>
      </c>
      <c r="B962" s="19" t="s">
        <v>488</v>
      </c>
      <c r="C962" s="19" t="s">
        <v>12</v>
      </c>
      <c r="D962" s="5" t="s">
        <v>489</v>
      </c>
      <c r="E962" s="6">
        <v>367038.95285638003</v>
      </c>
      <c r="F962" s="6">
        <v>6548423.4004471004</v>
      </c>
      <c r="G962" s="7" t="str">
        <f>HYPERLINK("https://minkarta.lantmateriet.se/?e=367038,95285638&amp;n=6548423,4004471&amp;z=12&amp;profile=flygbildmedgranser&amp;background=2&amp;boundaries=true","Visa")</f>
        <v>Visa</v>
      </c>
      <c r="H962" s="5" t="s">
        <v>9</v>
      </c>
      <c r="I962" s="8">
        <v>57.160609999999998</v>
      </c>
      <c r="J962" s="9">
        <v>71.337410000000006</v>
      </c>
      <c r="K962" s="9">
        <v>72.791370000000001</v>
      </c>
      <c r="L962" s="14">
        <v>58.167140000000003</v>
      </c>
      <c r="M962" s="9">
        <v>71.836910000000003</v>
      </c>
      <c r="N962" s="9">
        <v>75.307559999999995</v>
      </c>
      <c r="O962" s="14">
        <v>59.106870000000001</v>
      </c>
      <c r="P962" s="9">
        <v>72.821719999999999</v>
      </c>
      <c r="Q962" s="9">
        <v>75.676299999999998</v>
      </c>
      <c r="R962" s="23">
        <v>34.752630000000003</v>
      </c>
      <c r="S962" s="8">
        <v>0.93972999999999995</v>
      </c>
      <c r="T962" s="9">
        <v>0.98480999999999996</v>
      </c>
      <c r="U962" s="24">
        <v>0.36874000000000001</v>
      </c>
    </row>
    <row r="963" spans="1:21" ht="12" customHeight="1" x14ac:dyDescent="0.25">
      <c r="A963" s="5">
        <v>2399</v>
      </c>
      <c r="B963" s="19" t="s">
        <v>488</v>
      </c>
      <c r="C963" s="19" t="s">
        <v>12</v>
      </c>
      <c r="D963" s="5" t="s">
        <v>489</v>
      </c>
      <c r="E963" s="6">
        <v>367031.19714562001</v>
      </c>
      <c r="F963" s="6">
        <v>6548411.1695568999</v>
      </c>
      <c r="G963" s="7" t="str">
        <f>HYPERLINK("https://minkarta.lantmateriet.se/?e=367031,19714562&amp;n=6548411,1695569&amp;z=12&amp;profile=flygbildmedgranser&amp;background=2&amp;boundaries=true","Visa")</f>
        <v>Visa</v>
      </c>
      <c r="H963" s="5" t="s">
        <v>11</v>
      </c>
      <c r="I963" s="8">
        <v>42.646410000000003</v>
      </c>
      <c r="J963" s="9">
        <v>51.056759999999997</v>
      </c>
      <c r="K963" s="9">
        <v>52.510719999999999</v>
      </c>
      <c r="L963" s="14">
        <v>43.576540000000001</v>
      </c>
      <c r="M963" s="9">
        <v>51.556260000000002</v>
      </c>
      <c r="N963" s="9">
        <v>55.026910000000001</v>
      </c>
      <c r="O963" s="14">
        <v>44.051949999999998</v>
      </c>
      <c r="P963" s="9">
        <v>52.541069999999998</v>
      </c>
      <c r="Q963" s="9">
        <v>55.395650000000003</v>
      </c>
      <c r="R963" s="23">
        <v>45.715040000000002</v>
      </c>
      <c r="S963" s="8">
        <v>0.47541</v>
      </c>
      <c r="T963" s="9">
        <v>0.98480999999999996</v>
      </c>
      <c r="U963" s="24">
        <v>0.36874000000000001</v>
      </c>
    </row>
    <row r="964" spans="1:21" ht="12" customHeight="1" x14ac:dyDescent="0.25">
      <c r="A964" s="5">
        <v>2400</v>
      </c>
      <c r="B964" s="19" t="s">
        <v>490</v>
      </c>
      <c r="C964" s="19" t="s">
        <v>12</v>
      </c>
      <c r="D964" s="5" t="s">
        <v>491</v>
      </c>
      <c r="E964" s="6">
        <v>367016.13279771002</v>
      </c>
      <c r="F964" s="6">
        <v>6548428.3517461997</v>
      </c>
      <c r="G964" s="7" t="str">
        <f>HYPERLINK("https://minkarta.lantmateriet.se/?e=367016,13279771&amp;n=6548428,3517462&amp;z=12&amp;profile=flygbildmedgranser&amp;background=2&amp;boundaries=true","Visa")</f>
        <v>Visa</v>
      </c>
      <c r="H964" s="5" t="s">
        <v>8</v>
      </c>
      <c r="I964" s="8">
        <v>46.165889999999997</v>
      </c>
      <c r="J964" s="9">
        <v>60.808529999999998</v>
      </c>
      <c r="K964" s="9">
        <v>62.26249</v>
      </c>
      <c r="L964" s="14">
        <v>47.1584</v>
      </c>
      <c r="M964" s="9">
        <v>61.308030000000002</v>
      </c>
      <c r="N964" s="9">
        <v>64.778689999999997</v>
      </c>
      <c r="O964" s="14">
        <v>47.903849999999998</v>
      </c>
      <c r="P964" s="9">
        <v>62.292839999999998</v>
      </c>
      <c r="Q964" s="9">
        <v>65.147419999999997</v>
      </c>
      <c r="R964" s="23">
        <v>42.040149999999997</v>
      </c>
      <c r="S964" s="8">
        <v>0.74544999999999995</v>
      </c>
      <c r="T964" s="9">
        <v>0.98480999999999996</v>
      </c>
      <c r="U964" s="24">
        <v>0.36873</v>
      </c>
    </row>
    <row r="965" spans="1:21" ht="12" customHeight="1" x14ac:dyDescent="0.25">
      <c r="A965" s="5">
        <v>2401</v>
      </c>
      <c r="B965" s="19" t="s">
        <v>490</v>
      </c>
      <c r="C965" s="19" t="s">
        <v>12</v>
      </c>
      <c r="D965" s="5" t="s">
        <v>491</v>
      </c>
      <c r="E965" s="6">
        <v>367015.63375635998</v>
      </c>
      <c r="F965" s="6">
        <v>6548436.8767990004</v>
      </c>
      <c r="G965" s="7" t="str">
        <f>HYPERLINK("https://minkarta.lantmateriet.se/?e=367015,63375636&amp;n=6548436,876799&amp;z=12&amp;profile=flygbildmedgranser&amp;background=2&amp;boundaries=true","Visa")</f>
        <v>Visa</v>
      </c>
      <c r="H965" s="5" t="s">
        <v>9</v>
      </c>
      <c r="I965" s="8">
        <v>56.559269999999998</v>
      </c>
      <c r="J965" s="9">
        <v>70.638400000000004</v>
      </c>
      <c r="K965" s="9">
        <v>72.092359999999999</v>
      </c>
      <c r="L965" s="14">
        <v>57.548009999999998</v>
      </c>
      <c r="M965" s="9">
        <v>71.137889999999999</v>
      </c>
      <c r="N965" s="9">
        <v>74.608549999999994</v>
      </c>
      <c r="O965" s="14">
        <v>58.492420000000003</v>
      </c>
      <c r="P965" s="9">
        <v>72.122709999999998</v>
      </c>
      <c r="Q965" s="9">
        <v>74.977289999999996</v>
      </c>
      <c r="R965" s="23">
        <v>43.367759999999997</v>
      </c>
      <c r="S965" s="8">
        <v>0.94440999999999997</v>
      </c>
      <c r="T965" s="9">
        <v>0.98482000000000003</v>
      </c>
      <c r="U965" s="24">
        <v>0.36874000000000001</v>
      </c>
    </row>
    <row r="966" spans="1:21" ht="12" customHeight="1" x14ac:dyDescent="0.25">
      <c r="A966" s="5">
        <v>2402</v>
      </c>
      <c r="B966" s="19" t="s">
        <v>490</v>
      </c>
      <c r="C966" s="19" t="s">
        <v>12</v>
      </c>
      <c r="D966" s="5" t="s">
        <v>491</v>
      </c>
      <c r="E966" s="6">
        <v>367008.22720413998</v>
      </c>
      <c r="F966" s="6">
        <v>6548432.6247575004</v>
      </c>
      <c r="G966" s="7" t="str">
        <f>HYPERLINK("https://minkarta.lantmateriet.se/?e=367008,22720414&amp;n=6548432,6247575&amp;z=12&amp;profile=flygbildmedgranser&amp;background=2&amp;boundaries=true","Visa")</f>
        <v>Visa</v>
      </c>
      <c r="H966" s="5" t="s">
        <v>10</v>
      </c>
      <c r="I966" s="8">
        <v>50.856929999999998</v>
      </c>
      <c r="J966" s="9">
        <v>66.634500000000003</v>
      </c>
      <c r="K966" s="9">
        <v>68.088459999999998</v>
      </c>
      <c r="L966" s="14">
        <v>51.81147</v>
      </c>
      <c r="M966" s="9">
        <v>67.134</v>
      </c>
      <c r="N966" s="9">
        <v>70.604650000000007</v>
      </c>
      <c r="O966" s="14">
        <v>52.695900000000002</v>
      </c>
      <c r="P966" s="9">
        <v>68.118809999999996</v>
      </c>
      <c r="Q966" s="9">
        <v>70.973389999999995</v>
      </c>
      <c r="R966" s="23">
        <v>40.103430000000003</v>
      </c>
      <c r="S966" s="8">
        <v>0.88443000000000005</v>
      </c>
      <c r="T966" s="9">
        <v>0.98480999999999996</v>
      </c>
      <c r="U966" s="24">
        <v>0.36874000000000001</v>
      </c>
    </row>
    <row r="967" spans="1:21" ht="12" customHeight="1" x14ac:dyDescent="0.25">
      <c r="A967" s="5">
        <v>2403</v>
      </c>
      <c r="B967" s="19" t="s">
        <v>490</v>
      </c>
      <c r="C967" s="19" t="s">
        <v>12</v>
      </c>
      <c r="D967" s="5" t="s">
        <v>491</v>
      </c>
      <c r="E967" s="6">
        <v>367008.72624650999</v>
      </c>
      <c r="F967" s="6">
        <v>6548424.0997045999</v>
      </c>
      <c r="G967" s="7" t="str">
        <f>HYPERLINK("https://minkarta.lantmateriet.se/?e=367008,72624651&amp;n=6548424,0997046&amp;z=12&amp;profile=flygbildmedgranser&amp;background=2&amp;boundaries=true","Visa")</f>
        <v>Visa</v>
      </c>
      <c r="H967" s="5" t="s">
        <v>11</v>
      </c>
      <c r="I967" s="8">
        <v>42.21828</v>
      </c>
      <c r="J967" s="9">
        <v>52.777639999999998</v>
      </c>
      <c r="K967" s="9">
        <v>54.231610000000003</v>
      </c>
      <c r="L967" s="14">
        <v>43.160670000000003</v>
      </c>
      <c r="M967" s="9">
        <v>53.277140000000003</v>
      </c>
      <c r="N967" s="9">
        <v>56.747799999999998</v>
      </c>
      <c r="O967" s="14">
        <v>43.931750000000001</v>
      </c>
      <c r="P967" s="9">
        <v>54.261960000000002</v>
      </c>
      <c r="Q967" s="9">
        <v>57.116529999999997</v>
      </c>
      <c r="R967" s="23">
        <v>46.593159999999997</v>
      </c>
      <c r="S967" s="8">
        <v>0.77107999999999999</v>
      </c>
      <c r="T967" s="9">
        <v>0.98482000000000003</v>
      </c>
      <c r="U967" s="24">
        <v>0.36873</v>
      </c>
    </row>
    <row r="968" spans="1:21" ht="12" customHeight="1" x14ac:dyDescent="0.25">
      <c r="A968" s="5">
        <v>2404</v>
      </c>
      <c r="B968" s="19" t="s">
        <v>492</v>
      </c>
      <c r="C968" s="19" t="s">
        <v>12</v>
      </c>
      <c r="D968" s="5" t="s">
        <v>493</v>
      </c>
      <c r="E968" s="6">
        <v>366992.42053195997</v>
      </c>
      <c r="F968" s="6">
        <v>6548440.8972076001</v>
      </c>
      <c r="G968" s="7" t="str">
        <f>HYPERLINK("https://minkarta.lantmateriet.se/?e=366992,42053196&amp;n=6548440,8972076&amp;z=12&amp;profile=flygbildmedgranser&amp;background=2&amp;boundaries=true","Visa")</f>
        <v>Visa</v>
      </c>
      <c r="H968" s="5" t="s">
        <v>8</v>
      </c>
      <c r="I968" s="8">
        <v>45.940959999999997</v>
      </c>
      <c r="J968" s="9">
        <v>59.697890000000001</v>
      </c>
      <c r="K968" s="9">
        <v>61.151850000000003</v>
      </c>
      <c r="L968" s="14">
        <v>46.90992</v>
      </c>
      <c r="M968" s="9">
        <v>60.197380000000003</v>
      </c>
      <c r="N968" s="9">
        <v>63.668039999999998</v>
      </c>
      <c r="O968" s="14">
        <v>47.702919999999999</v>
      </c>
      <c r="P968" s="9">
        <v>61.182200000000002</v>
      </c>
      <c r="Q968" s="9">
        <v>64.036779999999993</v>
      </c>
      <c r="R968" s="23">
        <v>44.007219999999997</v>
      </c>
      <c r="S968" s="8">
        <v>0.79300000000000004</v>
      </c>
      <c r="T968" s="9">
        <v>0.98482000000000003</v>
      </c>
      <c r="U968" s="24">
        <v>0.36874000000000001</v>
      </c>
    </row>
    <row r="969" spans="1:21" ht="12" customHeight="1" x14ac:dyDescent="0.25">
      <c r="A969" s="5">
        <v>2405</v>
      </c>
      <c r="B969" s="19" t="s">
        <v>492</v>
      </c>
      <c r="C969" s="19" t="s">
        <v>12</v>
      </c>
      <c r="D969" s="5" t="s">
        <v>493</v>
      </c>
      <c r="E969" s="6">
        <v>366991.42929512</v>
      </c>
      <c r="F969" s="6">
        <v>6548449.4050331004</v>
      </c>
      <c r="G969" s="7" t="str">
        <f>HYPERLINK("https://minkarta.lantmateriet.se/?e=366991,42929512&amp;n=6548449,4050331&amp;z=12&amp;profile=flygbildmedgranser&amp;background=2&amp;boundaries=true","Visa")</f>
        <v>Visa</v>
      </c>
      <c r="H969" s="5" t="s">
        <v>9</v>
      </c>
      <c r="I969" s="8">
        <v>54.71931</v>
      </c>
      <c r="J969" s="9">
        <v>69.381280000000004</v>
      </c>
      <c r="K969" s="9">
        <v>70.835239999999999</v>
      </c>
      <c r="L969" s="14">
        <v>55.669960000000003</v>
      </c>
      <c r="M969" s="9">
        <v>69.880780000000001</v>
      </c>
      <c r="N969" s="9">
        <v>73.351429999999993</v>
      </c>
      <c r="O969" s="14">
        <v>56.610030000000002</v>
      </c>
      <c r="P969" s="9">
        <v>70.865589999999997</v>
      </c>
      <c r="Q969" s="9">
        <v>73.720169999999996</v>
      </c>
      <c r="R969" s="23">
        <v>43.793419999999998</v>
      </c>
      <c r="S969" s="8">
        <v>0.94006999999999996</v>
      </c>
      <c r="T969" s="9">
        <v>0.98480999999999996</v>
      </c>
      <c r="U969" s="24">
        <v>0.36874000000000001</v>
      </c>
    </row>
    <row r="970" spans="1:21" ht="12" customHeight="1" x14ac:dyDescent="0.25">
      <c r="A970" s="5">
        <v>2406</v>
      </c>
      <c r="B970" s="19" t="s">
        <v>492</v>
      </c>
      <c r="C970" s="19" t="s">
        <v>12</v>
      </c>
      <c r="D970" s="5" t="s">
        <v>493</v>
      </c>
      <c r="E970" s="6">
        <v>366984.20447003999</v>
      </c>
      <c r="F970" s="6">
        <v>6548444.8037964003</v>
      </c>
      <c r="G970" s="7" t="str">
        <f>HYPERLINK("https://minkarta.lantmateriet.se/?e=366984,20447004&amp;n=6548444,8037964&amp;z=12&amp;profile=flygbildmedgranser&amp;background=2&amp;boundaries=true","Visa")</f>
        <v>Visa</v>
      </c>
      <c r="H970" s="5" t="s">
        <v>10</v>
      </c>
      <c r="I970" s="8">
        <v>49.551859999999998</v>
      </c>
      <c r="J970" s="9">
        <v>65.395920000000004</v>
      </c>
      <c r="K970" s="9">
        <v>66.849879999999999</v>
      </c>
      <c r="L970" s="14">
        <v>50.497549999999997</v>
      </c>
      <c r="M970" s="9">
        <v>65.895420000000001</v>
      </c>
      <c r="N970" s="9">
        <v>69.366069999999993</v>
      </c>
      <c r="O970" s="14">
        <v>51.409219999999998</v>
      </c>
      <c r="P970" s="9">
        <v>66.880229999999997</v>
      </c>
      <c r="Q970" s="9">
        <v>69.734809999999996</v>
      </c>
      <c r="R970" s="23">
        <v>45.38129</v>
      </c>
      <c r="S970" s="8">
        <v>0.91166999999999998</v>
      </c>
      <c r="T970" s="9">
        <v>0.98480999999999996</v>
      </c>
      <c r="U970" s="24">
        <v>0.36874000000000001</v>
      </c>
    </row>
    <row r="971" spans="1:21" ht="12" customHeight="1" x14ac:dyDescent="0.25">
      <c r="A971" s="5">
        <v>2407</v>
      </c>
      <c r="B971" s="19" t="s">
        <v>492</v>
      </c>
      <c r="C971" s="19" t="s">
        <v>12</v>
      </c>
      <c r="D971" s="5" t="s">
        <v>493</v>
      </c>
      <c r="E971" s="6">
        <v>366985.19570688001</v>
      </c>
      <c r="F971" s="6">
        <v>6548436.2959709</v>
      </c>
      <c r="G971" s="7" t="str">
        <f>HYPERLINK("https://minkarta.lantmateriet.se/?e=366985,19570688&amp;n=6548436,2959709&amp;z=12&amp;profile=flygbildmedgranser&amp;background=2&amp;boundaries=true","Visa")</f>
        <v>Visa</v>
      </c>
      <c r="H971" s="5" t="s">
        <v>11</v>
      </c>
      <c r="I971" s="8">
        <v>41.613729999999997</v>
      </c>
      <c r="J971" s="9">
        <v>54.333190000000002</v>
      </c>
      <c r="K971" s="9">
        <v>55.787149999999997</v>
      </c>
      <c r="L971" s="14">
        <v>42.55753</v>
      </c>
      <c r="M971" s="9">
        <v>54.832680000000003</v>
      </c>
      <c r="N971" s="9">
        <v>58.303339999999999</v>
      </c>
      <c r="O971" s="14">
        <v>43.679470000000002</v>
      </c>
      <c r="P971" s="9">
        <v>55.817500000000003</v>
      </c>
      <c r="Q971" s="9">
        <v>58.672080000000001</v>
      </c>
      <c r="R971" s="23">
        <v>47.394730000000003</v>
      </c>
      <c r="S971" s="8">
        <v>1.1219399999999999</v>
      </c>
      <c r="T971" s="9">
        <v>0.98482000000000003</v>
      </c>
      <c r="U971" s="24">
        <v>0.36874000000000001</v>
      </c>
    </row>
    <row r="972" spans="1:21" ht="12" customHeight="1" x14ac:dyDescent="0.25">
      <c r="A972" s="5">
        <v>2408</v>
      </c>
      <c r="B972" s="19" t="s">
        <v>494</v>
      </c>
      <c r="C972" s="19" t="s">
        <v>12</v>
      </c>
      <c r="D972" s="5" t="s">
        <v>495</v>
      </c>
      <c r="E972" s="6">
        <v>366968.20169745001</v>
      </c>
      <c r="F972" s="6">
        <v>6548452.1485745003</v>
      </c>
      <c r="G972" s="7" t="str">
        <f>HYPERLINK("https://minkarta.lantmateriet.se/?e=366968,20169745&amp;n=6548452,1485745&amp;z=12&amp;profile=flygbildmedgranser&amp;background=2&amp;boundaries=true","Visa")</f>
        <v>Visa</v>
      </c>
      <c r="H972" s="5" t="s">
        <v>8</v>
      </c>
      <c r="I972" s="8">
        <v>45.887079999999997</v>
      </c>
      <c r="J972" s="9">
        <v>61.18383</v>
      </c>
      <c r="K972" s="9">
        <v>62.637790000000003</v>
      </c>
      <c r="L972" s="14">
        <v>46.834429999999998</v>
      </c>
      <c r="M972" s="9">
        <v>61.683329999999998</v>
      </c>
      <c r="N972" s="9">
        <v>65.153980000000004</v>
      </c>
      <c r="O972" s="14">
        <v>47.561430000000001</v>
      </c>
      <c r="P972" s="9">
        <v>62.668140000000001</v>
      </c>
      <c r="Q972" s="9">
        <v>65.522720000000007</v>
      </c>
      <c r="R972" s="23">
        <v>45.115209999999998</v>
      </c>
      <c r="S972" s="8">
        <v>0.72699999999999998</v>
      </c>
      <c r="T972" s="9">
        <v>0.98480999999999996</v>
      </c>
      <c r="U972" s="24">
        <v>0.36874000000000001</v>
      </c>
    </row>
    <row r="973" spans="1:21" ht="12" customHeight="1" x14ac:dyDescent="0.25">
      <c r="A973" s="5">
        <v>2409</v>
      </c>
      <c r="B973" s="19" t="s">
        <v>494</v>
      </c>
      <c r="C973" s="19" t="s">
        <v>12</v>
      </c>
      <c r="D973" s="5" t="s">
        <v>495</v>
      </c>
      <c r="E973" s="6">
        <v>366966.85092919</v>
      </c>
      <c r="F973" s="6">
        <v>6548460.6036981996</v>
      </c>
      <c r="G973" s="7" t="str">
        <f>HYPERLINK("https://minkarta.lantmateriet.se/?e=366966,85092919&amp;n=6548460,6036982&amp;z=12&amp;profile=flygbildmedgranser&amp;background=2&amp;boundaries=true","Visa")</f>
        <v>Visa</v>
      </c>
      <c r="H973" s="5" t="s">
        <v>9</v>
      </c>
      <c r="I973" s="8">
        <v>53.107410000000002</v>
      </c>
      <c r="J973" s="9">
        <v>67.070849999999993</v>
      </c>
      <c r="K973" s="9">
        <v>68.524810000000002</v>
      </c>
      <c r="L973" s="14">
        <v>54.054200000000002</v>
      </c>
      <c r="M973" s="9">
        <v>67.570340000000002</v>
      </c>
      <c r="N973" s="9">
        <v>71.040999999999997</v>
      </c>
      <c r="O973" s="14">
        <v>55.006140000000002</v>
      </c>
      <c r="P973" s="9">
        <v>68.555160000000001</v>
      </c>
      <c r="Q973" s="9">
        <v>71.409739999999999</v>
      </c>
      <c r="R973" s="23">
        <v>43.075760000000002</v>
      </c>
      <c r="S973" s="8">
        <v>0.95194000000000001</v>
      </c>
      <c r="T973" s="9">
        <v>0.98482000000000003</v>
      </c>
      <c r="U973" s="24">
        <v>0.36874000000000001</v>
      </c>
    </row>
    <row r="974" spans="1:21" ht="12" customHeight="1" x14ac:dyDescent="0.25">
      <c r="A974" s="5">
        <v>2410</v>
      </c>
      <c r="B974" s="19" t="s">
        <v>494</v>
      </c>
      <c r="C974" s="19" t="s">
        <v>12</v>
      </c>
      <c r="D974" s="5" t="s">
        <v>495</v>
      </c>
      <c r="E974" s="6">
        <v>366959.80930455</v>
      </c>
      <c r="F974" s="6">
        <v>6548455.7334294999</v>
      </c>
      <c r="G974" s="7" t="str">
        <f>HYPERLINK("https://minkarta.lantmateriet.se/?e=366959,80930455&amp;n=6548455,7334295&amp;z=12&amp;profile=flygbildmedgranser&amp;background=2&amp;boundaries=true","Visa")</f>
        <v>Visa</v>
      </c>
      <c r="H974" s="5" t="s">
        <v>10</v>
      </c>
      <c r="I974" s="8">
        <v>44.259010000000004</v>
      </c>
      <c r="J974" s="9">
        <v>55.856479999999998</v>
      </c>
      <c r="K974" s="9">
        <v>57.31044</v>
      </c>
      <c r="L974" s="14">
        <v>45.219299999999997</v>
      </c>
      <c r="M974" s="9">
        <v>56.355969999999999</v>
      </c>
      <c r="N974" s="9">
        <v>59.826630000000002</v>
      </c>
      <c r="O974" s="14">
        <v>45.94547</v>
      </c>
      <c r="P974" s="9">
        <v>57.340789999999998</v>
      </c>
      <c r="Q974" s="9">
        <v>60.195369999999997</v>
      </c>
      <c r="R974" s="23">
        <v>42.182369999999999</v>
      </c>
      <c r="S974" s="8">
        <v>0.72616999999999998</v>
      </c>
      <c r="T974" s="9">
        <v>0.98482000000000003</v>
      </c>
      <c r="U974" s="24">
        <v>0.36874000000000001</v>
      </c>
    </row>
    <row r="975" spans="1:21" ht="12" customHeight="1" x14ac:dyDescent="0.25">
      <c r="A975" s="5">
        <v>2411</v>
      </c>
      <c r="B975" s="19" t="s">
        <v>494</v>
      </c>
      <c r="C975" s="19" t="s">
        <v>12</v>
      </c>
      <c r="D975" s="5" t="s">
        <v>495</v>
      </c>
      <c r="E975" s="6">
        <v>366961.16007281002</v>
      </c>
      <c r="F975" s="6">
        <v>6548447.2783057997</v>
      </c>
      <c r="G975" s="7" t="str">
        <f>HYPERLINK("https://minkarta.lantmateriet.se/?e=366961,16007281&amp;n=6548447,2783058&amp;z=12&amp;profile=flygbildmedgranser&amp;background=2&amp;boundaries=true","Visa")</f>
        <v>Visa</v>
      </c>
      <c r="H975" s="5" t="s">
        <v>11</v>
      </c>
      <c r="I975" s="8">
        <v>42.474139999999998</v>
      </c>
      <c r="J975" s="9">
        <v>54.704909999999998</v>
      </c>
      <c r="K975" s="9">
        <v>56.158880000000003</v>
      </c>
      <c r="L975" s="14">
        <v>43.404049999999998</v>
      </c>
      <c r="M975" s="9">
        <v>55.204410000000003</v>
      </c>
      <c r="N975" s="9">
        <v>58.675069999999998</v>
      </c>
      <c r="O975" s="14">
        <v>44.651060000000001</v>
      </c>
      <c r="P975" s="9">
        <v>56.189230000000002</v>
      </c>
      <c r="Q975" s="9">
        <v>59.043799999999997</v>
      </c>
      <c r="R975" s="23">
        <v>48.436999999999998</v>
      </c>
      <c r="S975" s="8">
        <v>1.24701</v>
      </c>
      <c r="T975" s="9">
        <v>0.98482000000000003</v>
      </c>
      <c r="U975" s="24">
        <v>0.36873</v>
      </c>
    </row>
    <row r="976" spans="1:21" ht="12" customHeight="1" x14ac:dyDescent="0.25">
      <c r="A976" s="5">
        <v>2412</v>
      </c>
      <c r="B976" s="19" t="s">
        <v>496</v>
      </c>
      <c r="C976" s="19" t="s">
        <v>12</v>
      </c>
      <c r="D976" s="5" t="s">
        <v>497</v>
      </c>
      <c r="E976" s="6">
        <v>366932.80116758001</v>
      </c>
      <c r="F976" s="6">
        <v>6548458.9747658996</v>
      </c>
      <c r="G976" s="7" t="str">
        <f>HYPERLINK("https://minkarta.lantmateriet.se/?e=366932,80116758&amp;n=6548458,9747659&amp;z=12&amp;profile=flygbildmedgranser&amp;background=2&amp;boundaries=true","Visa")</f>
        <v>Visa</v>
      </c>
      <c r="H976" s="5" t="s">
        <v>11</v>
      </c>
      <c r="I976" s="8">
        <v>41.89669</v>
      </c>
      <c r="J976" s="9">
        <v>54.094889999999999</v>
      </c>
      <c r="K976" s="9">
        <v>55.548859999999998</v>
      </c>
      <c r="L976" s="14">
        <v>42.84272</v>
      </c>
      <c r="M976" s="9">
        <v>54.594389999999997</v>
      </c>
      <c r="N976" s="9">
        <v>58.065049999999999</v>
      </c>
      <c r="O976" s="14">
        <v>44.835209999999996</v>
      </c>
      <c r="P976" s="9">
        <v>55.579210000000003</v>
      </c>
      <c r="Q976" s="9">
        <v>58.433779999999999</v>
      </c>
      <c r="R976" s="23">
        <v>50.755920000000003</v>
      </c>
      <c r="S976" s="8">
        <v>1.9924900000000001</v>
      </c>
      <c r="T976" s="9">
        <v>0.98482000000000003</v>
      </c>
      <c r="U976" s="24">
        <v>0.36873</v>
      </c>
    </row>
    <row r="977" spans="1:21" ht="12" customHeight="1" x14ac:dyDescent="0.25">
      <c r="A977" s="5">
        <v>2413</v>
      </c>
      <c r="B977" s="19" t="s">
        <v>496</v>
      </c>
      <c r="C977" s="19" t="s">
        <v>12</v>
      </c>
      <c r="D977" s="5" t="s">
        <v>497</v>
      </c>
      <c r="E977" s="6">
        <v>366939.77873711998</v>
      </c>
      <c r="F977" s="6">
        <v>6548463.9741687002</v>
      </c>
      <c r="G977" s="7" t="str">
        <f>HYPERLINK("https://minkarta.lantmateriet.se/?e=366939,77873712&amp;n=6548463,9741687&amp;z=12&amp;profile=flygbildmedgranser&amp;background=2&amp;boundaries=true","Visa")</f>
        <v>Visa</v>
      </c>
      <c r="H977" s="5" t="s">
        <v>8</v>
      </c>
      <c r="I977" s="8">
        <v>45.164850000000001</v>
      </c>
      <c r="J977" s="9">
        <v>57.949469999999998</v>
      </c>
      <c r="K977" s="9">
        <v>59.40343</v>
      </c>
      <c r="L977" s="14">
        <v>46.105469999999997</v>
      </c>
      <c r="M977" s="9">
        <v>58.44896</v>
      </c>
      <c r="N977" s="9">
        <v>61.919620000000002</v>
      </c>
      <c r="O977" s="14">
        <v>46.829039999999999</v>
      </c>
      <c r="P977" s="9">
        <v>59.433779999999999</v>
      </c>
      <c r="Q977" s="9">
        <v>62.288359999999997</v>
      </c>
      <c r="R977" s="23">
        <v>45.21143</v>
      </c>
      <c r="S977" s="8">
        <v>0.72357000000000005</v>
      </c>
      <c r="T977" s="9">
        <v>0.98482000000000003</v>
      </c>
      <c r="U977" s="24">
        <v>0.36874000000000001</v>
      </c>
    </row>
    <row r="978" spans="1:21" ht="12" customHeight="1" x14ac:dyDescent="0.25">
      <c r="A978" s="5">
        <v>2414</v>
      </c>
      <c r="B978" s="19" t="s">
        <v>496</v>
      </c>
      <c r="C978" s="19" t="s">
        <v>12</v>
      </c>
      <c r="D978" s="5" t="s">
        <v>497</v>
      </c>
      <c r="E978" s="6">
        <v>366938.39183441998</v>
      </c>
      <c r="F978" s="6">
        <v>6548472.4452381004</v>
      </c>
      <c r="G978" s="7" t="str">
        <f>HYPERLINK("https://minkarta.lantmateriet.se/?e=366938,39183442&amp;n=6548472,4452381&amp;z=12&amp;profile=flygbildmedgranser&amp;background=2&amp;boundaries=true","Visa")</f>
        <v>Visa</v>
      </c>
      <c r="H978" s="5" t="s">
        <v>9</v>
      </c>
      <c r="I978" s="8">
        <v>51.66883</v>
      </c>
      <c r="J978" s="9">
        <v>64.640559999999994</v>
      </c>
      <c r="K978" s="9">
        <v>66.094530000000006</v>
      </c>
      <c r="L978" s="14">
        <v>52.645859999999999</v>
      </c>
      <c r="M978" s="9">
        <v>65.140060000000005</v>
      </c>
      <c r="N978" s="9">
        <v>68.610720000000001</v>
      </c>
      <c r="O978" s="14">
        <v>53.59319</v>
      </c>
      <c r="P978" s="9">
        <v>66.124880000000005</v>
      </c>
      <c r="Q978" s="9">
        <v>68.97945</v>
      </c>
      <c r="R978" s="23">
        <v>41.873980000000003</v>
      </c>
      <c r="S978" s="8">
        <v>0.94733000000000001</v>
      </c>
      <c r="T978" s="9">
        <v>0.98482000000000003</v>
      </c>
      <c r="U978" s="24">
        <v>0.36873</v>
      </c>
    </row>
    <row r="979" spans="1:21" ht="12" customHeight="1" x14ac:dyDescent="0.25">
      <c r="A979" s="5">
        <v>2415</v>
      </c>
      <c r="B979" s="19" t="s">
        <v>496</v>
      </c>
      <c r="C979" s="19" t="s">
        <v>12</v>
      </c>
      <c r="D979" s="5" t="s">
        <v>497</v>
      </c>
      <c r="E979" s="6">
        <v>366931.41426488</v>
      </c>
      <c r="F979" s="6">
        <v>6548467.4458352998</v>
      </c>
      <c r="G979" s="7" t="str">
        <f>HYPERLINK("https://minkarta.lantmateriet.se/?e=366931,41426488&amp;n=6548467,4458353&amp;z=12&amp;profile=flygbildmedgranser&amp;background=2&amp;boundaries=true","Visa")</f>
        <v>Visa</v>
      </c>
      <c r="H979" s="5" t="s">
        <v>10</v>
      </c>
      <c r="I979" s="8">
        <v>44.926369999999999</v>
      </c>
      <c r="J979" s="9">
        <v>57.172899999999998</v>
      </c>
      <c r="K979" s="9">
        <v>58.626860000000001</v>
      </c>
      <c r="L979" s="14">
        <v>45.891570000000002</v>
      </c>
      <c r="M979" s="9">
        <v>57.67239</v>
      </c>
      <c r="N979" s="9">
        <v>61.143050000000002</v>
      </c>
      <c r="O979" s="14">
        <v>47.586939999999998</v>
      </c>
      <c r="P979" s="9">
        <v>58.657209999999999</v>
      </c>
      <c r="Q979" s="9">
        <v>61.511789999999998</v>
      </c>
      <c r="R979" s="23">
        <v>50.923409999999997</v>
      </c>
      <c r="S979" s="8">
        <v>1.69537</v>
      </c>
      <c r="T979" s="9">
        <v>0.98482000000000003</v>
      </c>
      <c r="U979" s="24">
        <v>0.36874000000000001</v>
      </c>
    </row>
    <row r="980" spans="1:21" ht="12" customHeight="1" x14ac:dyDescent="0.25">
      <c r="A980" s="5">
        <v>2416</v>
      </c>
      <c r="B980" s="19" t="s">
        <v>498</v>
      </c>
      <c r="C980" s="19" t="s">
        <v>12</v>
      </c>
      <c r="D980" s="5" t="s">
        <v>499</v>
      </c>
      <c r="E980" s="6">
        <v>367037.63471721002</v>
      </c>
      <c r="F980" s="6">
        <v>6548115.6232204996</v>
      </c>
      <c r="G980" s="7" t="str">
        <f>HYPERLINK("https://minkarta.lantmateriet.se/?e=367037,63471721&amp;n=6548115,6232205&amp;z=12&amp;profile=flygbildmedgranser&amp;background=2&amp;boundaries=true","Visa")</f>
        <v>Visa</v>
      </c>
      <c r="H980" s="5" t="s">
        <v>11</v>
      </c>
      <c r="I980" s="8">
        <v>45.170769999999997</v>
      </c>
      <c r="J980" s="9">
        <v>51.636040000000001</v>
      </c>
      <c r="K980" s="9">
        <v>53.164619999999999</v>
      </c>
      <c r="L980" s="14">
        <v>46.096969999999999</v>
      </c>
      <c r="M980" s="9">
        <v>52.06514</v>
      </c>
      <c r="N980" s="9">
        <v>53.683109999999999</v>
      </c>
      <c r="O980" s="14">
        <v>46.203029999999998</v>
      </c>
      <c r="P980" s="9">
        <v>52.093589999999999</v>
      </c>
      <c r="Q980" s="9">
        <v>53.712429999999998</v>
      </c>
      <c r="R980" s="23">
        <v>30.529990000000002</v>
      </c>
      <c r="S980" s="8">
        <v>0.10606</v>
      </c>
      <c r="T980" s="9">
        <v>2.845E-2</v>
      </c>
      <c r="U980" s="24">
        <v>2.9319999999999999E-2</v>
      </c>
    </row>
    <row r="981" spans="1:21" ht="12" customHeight="1" x14ac:dyDescent="0.25">
      <c r="A981" s="5">
        <v>2417</v>
      </c>
      <c r="B981" s="19" t="s">
        <v>498</v>
      </c>
      <c r="C981" s="19" t="s">
        <v>12</v>
      </c>
      <c r="D981" s="5" t="s">
        <v>499</v>
      </c>
      <c r="E981" s="6">
        <v>367041.56078087998</v>
      </c>
      <c r="F981" s="6">
        <v>6548115.3752151998</v>
      </c>
      <c r="G981" s="7" t="str">
        <f>HYPERLINK("https://minkarta.lantmateriet.se/?e=367041,56078088&amp;n=6548115,3752152&amp;z=12&amp;profile=flygbildmedgranser&amp;background=2&amp;boundaries=true","Visa")</f>
        <v>Visa</v>
      </c>
      <c r="H981" s="5" t="s">
        <v>8</v>
      </c>
      <c r="I981" s="8">
        <v>35.6008</v>
      </c>
      <c r="J981" s="9">
        <v>45.74315</v>
      </c>
      <c r="K981" s="9">
        <v>47.271729999999998</v>
      </c>
      <c r="L981" s="14">
        <v>36.51699</v>
      </c>
      <c r="M981" s="9">
        <v>46.172260000000001</v>
      </c>
      <c r="N981" s="9">
        <v>47.790219999999998</v>
      </c>
      <c r="O981" s="14">
        <v>36.75517</v>
      </c>
      <c r="P981" s="9">
        <v>46.200710000000001</v>
      </c>
      <c r="Q981" s="9">
        <v>47.819540000000003</v>
      </c>
      <c r="R981" s="23">
        <v>24.289079999999998</v>
      </c>
      <c r="S981" s="8">
        <v>0.23818</v>
      </c>
      <c r="T981" s="9">
        <v>2.845E-2</v>
      </c>
      <c r="U981" s="24">
        <v>2.9319999999999999E-2</v>
      </c>
    </row>
    <row r="982" spans="1:21" ht="12" customHeight="1" x14ac:dyDescent="0.25">
      <c r="A982" s="5">
        <v>2418</v>
      </c>
      <c r="B982" s="19" t="s">
        <v>498</v>
      </c>
      <c r="C982" s="19" t="s">
        <v>12</v>
      </c>
      <c r="D982" s="5" t="s">
        <v>499</v>
      </c>
      <c r="E982" s="6">
        <v>367044.36728034</v>
      </c>
      <c r="F982" s="6">
        <v>6548117.4422142003</v>
      </c>
      <c r="G982" s="7" t="str">
        <f>HYPERLINK("https://minkarta.lantmateriet.se/?e=367044,36728034&amp;n=6548117,4422142&amp;z=12&amp;profile=flygbildmedgranser&amp;background=2&amp;boundaries=true","Visa")</f>
        <v>Visa</v>
      </c>
      <c r="H982" s="5" t="s">
        <v>8</v>
      </c>
      <c r="I982" s="8">
        <v>35.892119999999998</v>
      </c>
      <c r="J982" s="9">
        <v>44.09599</v>
      </c>
      <c r="K982" s="9">
        <v>45.624569999999999</v>
      </c>
      <c r="L982" s="14">
        <v>36.81664</v>
      </c>
      <c r="M982" s="9">
        <v>44.525100000000002</v>
      </c>
      <c r="N982" s="9">
        <v>46.143070000000002</v>
      </c>
      <c r="O982" s="14">
        <v>37.151400000000002</v>
      </c>
      <c r="P982" s="9">
        <v>44.553550000000001</v>
      </c>
      <c r="Q982" s="9">
        <v>46.17239</v>
      </c>
      <c r="R982" s="23">
        <v>30.041979999999999</v>
      </c>
      <c r="S982" s="8">
        <v>0.33476</v>
      </c>
      <c r="T982" s="9">
        <v>2.845E-2</v>
      </c>
      <c r="U982" s="24">
        <v>2.9319999999999999E-2</v>
      </c>
    </row>
    <row r="983" spans="1:21" ht="12" customHeight="1" x14ac:dyDescent="0.25">
      <c r="A983" s="5">
        <v>2419</v>
      </c>
      <c r="B983" s="19" t="s">
        <v>498</v>
      </c>
      <c r="C983" s="19" t="s">
        <v>12</v>
      </c>
      <c r="D983" s="5" t="s">
        <v>499</v>
      </c>
      <c r="E983" s="6">
        <v>367044.44378218998</v>
      </c>
      <c r="F983" s="6">
        <v>6548120.6707175998</v>
      </c>
      <c r="G983" s="7" t="str">
        <f>HYPERLINK("https://minkarta.lantmateriet.se/?e=367044,44378219&amp;n=6548120,6707176&amp;z=12&amp;profile=flygbildmedgranser&amp;background=2&amp;boundaries=true","Visa")</f>
        <v>Visa</v>
      </c>
      <c r="H983" s="5" t="s">
        <v>8</v>
      </c>
      <c r="I983" s="8">
        <v>35.126570000000001</v>
      </c>
      <c r="J983" s="9">
        <v>42.94782</v>
      </c>
      <c r="K983" s="9">
        <v>44.476399999999998</v>
      </c>
      <c r="L983" s="14">
        <v>36.049239999999998</v>
      </c>
      <c r="M983" s="9">
        <v>43.376930000000002</v>
      </c>
      <c r="N983" s="9">
        <v>44.994889999999998</v>
      </c>
      <c r="O983" s="14">
        <v>36.346980000000002</v>
      </c>
      <c r="P983" s="9">
        <v>43.405380000000001</v>
      </c>
      <c r="Q983" s="9">
        <v>45.024209999999997</v>
      </c>
      <c r="R983" s="23">
        <v>30.259270000000001</v>
      </c>
      <c r="S983" s="8">
        <v>0.29774</v>
      </c>
      <c r="T983" s="9">
        <v>2.845E-2</v>
      </c>
      <c r="U983" s="24">
        <v>2.9319999999999999E-2</v>
      </c>
    </row>
    <row r="984" spans="1:21" ht="12" customHeight="1" x14ac:dyDescent="0.25">
      <c r="A984" s="5">
        <v>2420</v>
      </c>
      <c r="B984" s="19" t="s">
        <v>498</v>
      </c>
      <c r="C984" s="19" t="s">
        <v>12</v>
      </c>
      <c r="D984" s="5" t="s">
        <v>499</v>
      </c>
      <c r="E984" s="6">
        <v>367041.97078537999</v>
      </c>
      <c r="F984" s="6">
        <v>6548123.5837832</v>
      </c>
      <c r="G984" s="7" t="str">
        <f>HYPERLINK("https://minkarta.lantmateriet.se/?e=367041,97078538&amp;n=6548123,5837832&amp;z=12&amp;profile=flygbildmedgranser&amp;background=2&amp;boundaries=true","Visa")</f>
        <v>Visa</v>
      </c>
      <c r="H984" s="5" t="s">
        <v>9</v>
      </c>
      <c r="I984" s="8">
        <v>36.251130000000003</v>
      </c>
      <c r="J984" s="9">
        <v>42.932560000000002</v>
      </c>
      <c r="K984" s="9">
        <v>44.46114</v>
      </c>
      <c r="L984" s="14">
        <v>37.167819999999999</v>
      </c>
      <c r="M984" s="9">
        <v>43.361660000000001</v>
      </c>
      <c r="N984" s="9">
        <v>44.97963</v>
      </c>
      <c r="O984" s="14">
        <v>37.528080000000003</v>
      </c>
      <c r="P984" s="9">
        <v>43.39011</v>
      </c>
      <c r="Q984" s="9">
        <v>45.008949999999999</v>
      </c>
      <c r="R984" s="23">
        <v>36.379429999999999</v>
      </c>
      <c r="S984" s="8">
        <v>0.36026000000000002</v>
      </c>
      <c r="T984" s="9">
        <v>2.845E-2</v>
      </c>
      <c r="U984" s="24">
        <v>2.9319999999999999E-2</v>
      </c>
    </row>
    <row r="985" spans="1:21" ht="12" customHeight="1" x14ac:dyDescent="0.25">
      <c r="A985" s="5">
        <v>2421</v>
      </c>
      <c r="B985" s="19" t="s">
        <v>498</v>
      </c>
      <c r="C985" s="19" t="s">
        <v>12</v>
      </c>
      <c r="D985" s="5" t="s">
        <v>499</v>
      </c>
      <c r="E985" s="6">
        <v>367036.67171947</v>
      </c>
      <c r="F985" s="6">
        <v>6548121.3092858</v>
      </c>
      <c r="G985" s="7" t="str">
        <f>HYPERLINK("https://minkarta.lantmateriet.se/?e=367036,67171947&amp;n=6548121,3092858&amp;z=12&amp;profile=flygbildmedgranser&amp;background=2&amp;boundaries=true","Visa")</f>
        <v>Visa</v>
      </c>
      <c r="H985" s="5" t="s">
        <v>10</v>
      </c>
      <c r="I985" s="8">
        <v>45.955880000000001</v>
      </c>
      <c r="J985" s="9">
        <v>51.376420000000003</v>
      </c>
      <c r="K985" s="9">
        <v>52.905000000000001</v>
      </c>
      <c r="L985" s="14">
        <v>46.892359999999996</v>
      </c>
      <c r="M985" s="9">
        <v>51.805529999999997</v>
      </c>
      <c r="N985" s="9">
        <v>53.423499999999997</v>
      </c>
      <c r="O985" s="14">
        <v>47.006309999999999</v>
      </c>
      <c r="P985" s="9">
        <v>51.833979999999997</v>
      </c>
      <c r="Q985" s="9">
        <v>53.452820000000003</v>
      </c>
      <c r="R985" s="23">
        <v>37.94699</v>
      </c>
      <c r="S985" s="8">
        <v>0.11395</v>
      </c>
      <c r="T985" s="9">
        <v>2.845E-2</v>
      </c>
      <c r="U985" s="24">
        <v>2.9319999999999999E-2</v>
      </c>
    </row>
    <row r="986" spans="1:21" ht="12" customHeight="1" x14ac:dyDescent="0.25">
      <c r="A986" s="5">
        <v>2422</v>
      </c>
      <c r="B986" s="19" t="s">
        <v>500</v>
      </c>
      <c r="C986" s="19" t="s">
        <v>12</v>
      </c>
      <c r="D986" s="5" t="s">
        <v>501</v>
      </c>
      <c r="E986" s="6">
        <v>367062.29211508</v>
      </c>
      <c r="F986" s="6">
        <v>6548094.0817879001</v>
      </c>
      <c r="G986" s="7" t="str">
        <f>HYPERLINK("https://minkarta.lantmateriet.se/?e=367062,29211508&amp;n=6548094,0817879&amp;z=12&amp;profile=flygbildmedgranser&amp;background=2&amp;boundaries=true","Visa")</f>
        <v>Visa</v>
      </c>
      <c r="H986" s="5" t="s">
        <v>11</v>
      </c>
      <c r="I986" s="8">
        <v>47.034390000000002</v>
      </c>
      <c r="J986" s="9">
        <v>51.02704</v>
      </c>
      <c r="K986" s="9">
        <v>52.555619999999998</v>
      </c>
      <c r="L986" s="14">
        <v>47.972180000000002</v>
      </c>
      <c r="M986" s="9">
        <v>51.456150000000001</v>
      </c>
      <c r="N986" s="9">
        <v>53.074109999999997</v>
      </c>
      <c r="O986" s="14">
        <v>48.060960000000001</v>
      </c>
      <c r="P986" s="9">
        <v>51.4846</v>
      </c>
      <c r="Q986" s="9">
        <v>53.103430000000003</v>
      </c>
      <c r="R986" s="23">
        <v>30.997070000000001</v>
      </c>
      <c r="S986" s="8">
        <v>8.8779999999999998E-2</v>
      </c>
      <c r="T986" s="9">
        <v>2.845E-2</v>
      </c>
      <c r="U986" s="24">
        <v>2.9319999999999999E-2</v>
      </c>
    </row>
    <row r="987" spans="1:21" ht="12" customHeight="1" x14ac:dyDescent="0.25">
      <c r="A987" s="5">
        <v>2423</v>
      </c>
      <c r="B987" s="19" t="s">
        <v>500</v>
      </c>
      <c r="C987" s="19" t="s">
        <v>12</v>
      </c>
      <c r="D987" s="5" t="s">
        <v>501</v>
      </c>
      <c r="E987" s="6">
        <v>367066.72311065003</v>
      </c>
      <c r="F987" s="6">
        <v>6548095.5597898001</v>
      </c>
      <c r="G987" s="7" t="str">
        <f>HYPERLINK("https://minkarta.lantmateriet.se/?e=367066,72311065&amp;n=6548095,5597898&amp;z=12&amp;profile=flygbildmedgranser&amp;background=2&amp;boundaries=true","Visa")</f>
        <v>Visa</v>
      </c>
      <c r="H987" s="5" t="s">
        <v>11</v>
      </c>
      <c r="I987" s="8">
        <v>43.042499999999997</v>
      </c>
      <c r="J987" s="9">
        <v>50.662930000000003</v>
      </c>
      <c r="K987" s="9">
        <v>52.191510000000001</v>
      </c>
      <c r="L987" s="14">
        <v>43.993389999999998</v>
      </c>
      <c r="M987" s="9">
        <v>51.092039999999997</v>
      </c>
      <c r="N987" s="9">
        <v>52.710009999999997</v>
      </c>
      <c r="O987" s="14">
        <v>44.097630000000002</v>
      </c>
      <c r="P987" s="9">
        <v>51.120489999999997</v>
      </c>
      <c r="Q987" s="9">
        <v>52.739330000000002</v>
      </c>
      <c r="R987" s="23">
        <v>33.742809999999999</v>
      </c>
      <c r="S987" s="8">
        <v>0.10424</v>
      </c>
      <c r="T987" s="9">
        <v>2.845E-2</v>
      </c>
      <c r="U987" s="24">
        <v>2.9319999999999999E-2</v>
      </c>
    </row>
    <row r="988" spans="1:21" ht="12" customHeight="1" x14ac:dyDescent="0.25">
      <c r="A988" s="5">
        <v>2424</v>
      </c>
      <c r="B988" s="19" t="s">
        <v>500</v>
      </c>
      <c r="C988" s="19" t="s">
        <v>12</v>
      </c>
      <c r="D988" s="5" t="s">
        <v>501</v>
      </c>
      <c r="E988" s="6">
        <v>367069.80871476</v>
      </c>
      <c r="F988" s="6">
        <v>6548098.9666152997</v>
      </c>
      <c r="G988" s="7" t="str">
        <f>HYPERLINK("https://minkarta.lantmateriet.se/?e=367069,80871476&amp;n=6548098,9666153&amp;z=12&amp;profile=flygbildmedgranser&amp;background=2&amp;boundaries=true","Visa")</f>
        <v>Visa</v>
      </c>
      <c r="H988" s="5" t="s">
        <v>8</v>
      </c>
      <c r="I988" s="8">
        <v>39.577669999999998</v>
      </c>
      <c r="J988" s="9">
        <v>45.752510000000001</v>
      </c>
      <c r="K988" s="9">
        <v>47.281089999999999</v>
      </c>
      <c r="L988" s="14">
        <v>40.5242</v>
      </c>
      <c r="M988" s="9">
        <v>46.181620000000002</v>
      </c>
      <c r="N988" s="9">
        <v>47.799590000000002</v>
      </c>
      <c r="O988" s="14">
        <v>40.671509999999998</v>
      </c>
      <c r="P988" s="9">
        <v>46.210070000000002</v>
      </c>
      <c r="Q988" s="9">
        <v>47.82891</v>
      </c>
      <c r="R988" s="23">
        <v>30.503889999999998</v>
      </c>
      <c r="S988" s="8">
        <v>0.14731</v>
      </c>
      <c r="T988" s="9">
        <v>2.845E-2</v>
      </c>
      <c r="U988" s="24">
        <v>2.9319999999999999E-2</v>
      </c>
    </row>
    <row r="989" spans="1:21" ht="12" customHeight="1" x14ac:dyDescent="0.25">
      <c r="A989" s="5">
        <v>2425</v>
      </c>
      <c r="B989" s="19" t="s">
        <v>500</v>
      </c>
      <c r="C989" s="19" t="s">
        <v>12</v>
      </c>
      <c r="D989" s="5" t="s">
        <v>501</v>
      </c>
      <c r="E989" s="6">
        <v>367066.91588891001</v>
      </c>
      <c r="F989" s="6">
        <v>6548104.8967153002</v>
      </c>
      <c r="G989" s="7" t="str">
        <f>HYPERLINK("https://minkarta.lantmateriet.se/?e=367066,91588891&amp;n=6548104,8967153&amp;z=12&amp;profile=flygbildmedgranser&amp;background=2&amp;boundaries=true","Visa")</f>
        <v>Visa</v>
      </c>
      <c r="H989" s="5" t="s">
        <v>9</v>
      </c>
      <c r="I989" s="8">
        <v>34.955910000000003</v>
      </c>
      <c r="J989" s="9">
        <v>35.013280000000002</v>
      </c>
      <c r="K989" s="9">
        <v>36.46725</v>
      </c>
      <c r="L989" s="14">
        <v>35.879930000000002</v>
      </c>
      <c r="M989" s="9">
        <v>35.512779999999999</v>
      </c>
      <c r="N989" s="9">
        <v>38.983440000000002</v>
      </c>
      <c r="O989" s="14">
        <v>36.165849999999999</v>
      </c>
      <c r="P989" s="9">
        <v>37.179920000000003</v>
      </c>
      <c r="Q989" s="9">
        <v>39.352170000000001</v>
      </c>
      <c r="R989" s="23">
        <v>35.890320000000003</v>
      </c>
      <c r="S989" s="8">
        <v>0.28592000000000001</v>
      </c>
      <c r="T989" s="9">
        <v>1.6671400000000001</v>
      </c>
      <c r="U989" s="24">
        <v>0.36873</v>
      </c>
    </row>
    <row r="990" spans="1:21" ht="12" customHeight="1" x14ac:dyDescent="0.25">
      <c r="A990" s="5">
        <v>2426</v>
      </c>
      <c r="B990" s="19" t="s">
        <v>500</v>
      </c>
      <c r="C990" s="19" t="s">
        <v>12</v>
      </c>
      <c r="D990" s="5" t="s">
        <v>501</v>
      </c>
      <c r="E990" s="6">
        <v>367060.64778686</v>
      </c>
      <c r="F990" s="6">
        <v>6548102.8243877999</v>
      </c>
      <c r="G990" s="7" t="str">
        <f>HYPERLINK("https://minkarta.lantmateriet.se/?e=367060,64778686&amp;n=6548102,8243878&amp;z=12&amp;profile=flygbildmedgranser&amp;background=2&amp;boundaries=true","Visa")</f>
        <v>Visa</v>
      </c>
      <c r="H990" s="5" t="s">
        <v>10</v>
      </c>
      <c r="I990" s="8">
        <v>41.568840000000002</v>
      </c>
      <c r="J990" s="9">
        <v>47.519680000000001</v>
      </c>
      <c r="K990" s="9">
        <v>49.048259999999999</v>
      </c>
      <c r="L990" s="14">
        <v>42.515860000000004</v>
      </c>
      <c r="M990" s="9">
        <v>47.948779999999999</v>
      </c>
      <c r="N990" s="9">
        <v>49.566749999999999</v>
      </c>
      <c r="O990" s="14">
        <v>42.63458</v>
      </c>
      <c r="P990" s="9">
        <v>47.977240000000002</v>
      </c>
      <c r="Q990" s="9">
        <v>49.596069999999997</v>
      </c>
      <c r="R990" s="23">
        <v>32.748779999999996</v>
      </c>
      <c r="S990" s="8">
        <v>0.11872000000000001</v>
      </c>
      <c r="T990" s="9">
        <v>2.8459999999999999E-2</v>
      </c>
      <c r="U990" s="24">
        <v>2.9319999999999999E-2</v>
      </c>
    </row>
    <row r="991" spans="1:21" ht="12" customHeight="1" x14ac:dyDescent="0.25">
      <c r="A991" s="5">
        <v>2440</v>
      </c>
      <c r="B991" s="19" t="s">
        <v>502</v>
      </c>
      <c r="C991" s="19" t="s">
        <v>12</v>
      </c>
      <c r="D991" s="5" t="s">
        <v>503</v>
      </c>
      <c r="E991" s="6">
        <v>367033.27884573</v>
      </c>
      <c r="F991" s="6">
        <v>6548094.9203361003</v>
      </c>
      <c r="G991" s="7" t="str">
        <f>HYPERLINK("https://minkarta.lantmateriet.se/?e=367033,27884573&amp;n=6548094,9203361&amp;z=12&amp;profile=flygbildmedgranser&amp;background=2&amp;boundaries=true","Visa")</f>
        <v>Visa</v>
      </c>
      <c r="H991" s="5" t="s">
        <v>8</v>
      </c>
      <c r="I991" s="8">
        <v>36.951070000000001</v>
      </c>
      <c r="J991" s="9">
        <v>44.81371</v>
      </c>
      <c r="K991" s="9">
        <v>46.342289999999998</v>
      </c>
      <c r="L991" s="14">
        <v>37.893030000000003</v>
      </c>
      <c r="M991" s="9">
        <v>45.242809999999999</v>
      </c>
      <c r="N991" s="9">
        <v>46.860779999999998</v>
      </c>
      <c r="O991" s="14">
        <v>38.102469999999997</v>
      </c>
      <c r="P991" s="9">
        <v>45.271259999999998</v>
      </c>
      <c r="Q991" s="9">
        <v>46.890099999999997</v>
      </c>
      <c r="R991" s="23">
        <v>23.536709999999999</v>
      </c>
      <c r="S991" s="8">
        <v>0.20943999999999999</v>
      </c>
      <c r="T991" s="9">
        <v>2.845E-2</v>
      </c>
      <c r="U991" s="24">
        <v>2.9319999999999999E-2</v>
      </c>
    </row>
    <row r="992" spans="1:21" ht="12" customHeight="1" x14ac:dyDescent="0.25">
      <c r="A992" s="5">
        <v>2441</v>
      </c>
      <c r="B992" s="19" t="s">
        <v>502</v>
      </c>
      <c r="C992" s="19" t="s">
        <v>12</v>
      </c>
      <c r="D992" s="5" t="s">
        <v>503</v>
      </c>
      <c r="E992" s="6">
        <v>367033.88884293003</v>
      </c>
      <c r="F992" s="6">
        <v>6548098.8353308002</v>
      </c>
      <c r="G992" s="7" t="str">
        <f>HYPERLINK("https://minkarta.lantmateriet.se/?e=367033,88884293&amp;n=6548098,8353308&amp;z=12&amp;profile=flygbildmedgranser&amp;background=2&amp;boundaries=true","Visa")</f>
        <v>Visa</v>
      </c>
      <c r="H992" s="5" t="s">
        <v>8</v>
      </c>
      <c r="I992" s="8">
        <v>35.03801</v>
      </c>
      <c r="J992" s="9">
        <v>39.768250000000002</v>
      </c>
      <c r="K992" s="9">
        <v>41.29683</v>
      </c>
      <c r="L992" s="14">
        <v>35.975960000000001</v>
      </c>
      <c r="M992" s="9">
        <v>40.197360000000003</v>
      </c>
      <c r="N992" s="9">
        <v>41.815330000000003</v>
      </c>
      <c r="O992" s="14">
        <v>36.309440000000002</v>
      </c>
      <c r="P992" s="9">
        <v>40.225810000000003</v>
      </c>
      <c r="Q992" s="9">
        <v>41.844650000000001</v>
      </c>
      <c r="R992" s="23">
        <v>34.098210000000002</v>
      </c>
      <c r="S992" s="8">
        <v>0.33348</v>
      </c>
      <c r="T992" s="9">
        <v>2.845E-2</v>
      </c>
      <c r="U992" s="24">
        <v>2.9319999999999999E-2</v>
      </c>
    </row>
    <row r="993" spans="1:21" ht="12" customHeight="1" x14ac:dyDescent="0.25">
      <c r="A993" s="5">
        <v>2442</v>
      </c>
      <c r="B993" s="19" t="s">
        <v>502</v>
      </c>
      <c r="C993" s="19" t="s">
        <v>12</v>
      </c>
      <c r="D993" s="5" t="s">
        <v>503</v>
      </c>
      <c r="E993" s="6">
        <v>367030.99465259002</v>
      </c>
      <c r="F993" s="6">
        <v>6548102.3988543004</v>
      </c>
      <c r="G993" s="7" t="str">
        <f>HYPERLINK("https://minkarta.lantmateriet.se/?e=367030,99465259&amp;n=6548102,3988543&amp;z=12&amp;profile=flygbildmedgranser&amp;background=2&amp;boundaries=true","Visa")</f>
        <v>Visa</v>
      </c>
      <c r="H993" s="5" t="s">
        <v>9</v>
      </c>
      <c r="I993" s="8">
        <v>41.151249999999997</v>
      </c>
      <c r="J993" s="9">
        <v>49.677570000000003</v>
      </c>
      <c r="K993" s="9">
        <v>51.206150000000001</v>
      </c>
      <c r="L993" s="14">
        <v>42.092109999999998</v>
      </c>
      <c r="M993" s="9">
        <v>50.106670000000001</v>
      </c>
      <c r="N993" s="9">
        <v>51.724640000000001</v>
      </c>
      <c r="O993" s="14">
        <v>42.237090000000002</v>
      </c>
      <c r="P993" s="9">
        <v>50.135120000000001</v>
      </c>
      <c r="Q993" s="9">
        <v>51.753959999999999</v>
      </c>
      <c r="R993" s="23">
        <v>35.36842</v>
      </c>
      <c r="S993" s="8">
        <v>0.14498</v>
      </c>
      <c r="T993" s="9">
        <v>2.845E-2</v>
      </c>
      <c r="U993" s="24">
        <v>2.9319999999999999E-2</v>
      </c>
    </row>
    <row r="994" spans="1:21" ht="12" customHeight="1" x14ac:dyDescent="0.25">
      <c r="A994" s="5">
        <v>2443</v>
      </c>
      <c r="B994" s="19" t="s">
        <v>502</v>
      </c>
      <c r="C994" s="19" t="s">
        <v>12</v>
      </c>
      <c r="D994" s="5" t="s">
        <v>503</v>
      </c>
      <c r="E994" s="6">
        <v>367025.04615159001</v>
      </c>
      <c r="F994" s="6">
        <v>6548100.164659</v>
      </c>
      <c r="G994" s="7" t="str">
        <f>HYPERLINK("https://minkarta.lantmateriet.se/?e=367025,04615159&amp;n=6548100,164659&amp;z=12&amp;profile=flygbildmedgranser&amp;background=2&amp;boundaries=true","Visa")</f>
        <v>Visa</v>
      </c>
      <c r="H994" s="5" t="s">
        <v>10</v>
      </c>
      <c r="I994" s="8">
        <v>48.163919999999997</v>
      </c>
      <c r="J994" s="9">
        <v>52.642380000000003</v>
      </c>
      <c r="K994" s="9">
        <v>54.170960000000001</v>
      </c>
      <c r="L994" s="14">
        <v>49.099040000000002</v>
      </c>
      <c r="M994" s="9">
        <v>53.071489999999997</v>
      </c>
      <c r="N994" s="9">
        <v>54.689459999999997</v>
      </c>
      <c r="O994" s="14">
        <v>49.19209</v>
      </c>
      <c r="P994" s="9">
        <v>53.099939999999997</v>
      </c>
      <c r="Q994" s="9">
        <v>54.718780000000002</v>
      </c>
      <c r="R994" s="23">
        <v>34.765740000000001</v>
      </c>
      <c r="S994" s="8">
        <v>9.3049999999999994E-2</v>
      </c>
      <c r="T994" s="9">
        <v>2.845E-2</v>
      </c>
      <c r="U994" s="24">
        <v>2.9319999999999999E-2</v>
      </c>
    </row>
    <row r="995" spans="1:21" ht="12" customHeight="1" x14ac:dyDescent="0.25">
      <c r="A995" s="5">
        <v>2444</v>
      </c>
      <c r="B995" s="19" t="s">
        <v>502</v>
      </c>
      <c r="C995" s="19" t="s">
        <v>12</v>
      </c>
      <c r="D995" s="5" t="s">
        <v>503</v>
      </c>
      <c r="E995" s="6">
        <v>367026.57534941001</v>
      </c>
      <c r="F995" s="6">
        <v>6548094.0011497</v>
      </c>
      <c r="G995" s="7" t="str">
        <f>HYPERLINK("https://minkarta.lantmateriet.se/?e=367026,57534941&amp;n=6548094,0011497&amp;z=12&amp;profile=flygbildmedgranser&amp;background=2&amp;boundaries=true","Visa")</f>
        <v>Visa</v>
      </c>
      <c r="H995" s="5" t="s">
        <v>11</v>
      </c>
      <c r="I995" s="8">
        <v>47.32058</v>
      </c>
      <c r="J995" s="9">
        <v>52.474699999999999</v>
      </c>
      <c r="K995" s="9">
        <v>54.003279999999997</v>
      </c>
      <c r="L995" s="14">
        <v>48.255600000000001</v>
      </c>
      <c r="M995" s="9">
        <v>52.90381</v>
      </c>
      <c r="N995" s="9">
        <v>54.521769999999997</v>
      </c>
      <c r="O995" s="14">
        <v>48.335619999999999</v>
      </c>
      <c r="P995" s="9">
        <v>52.932259999999999</v>
      </c>
      <c r="Q995" s="9">
        <v>54.551090000000002</v>
      </c>
      <c r="R995" s="23">
        <v>26.85164</v>
      </c>
      <c r="S995" s="8">
        <v>8.0019999999999994E-2</v>
      </c>
      <c r="T995" s="9">
        <v>2.845E-2</v>
      </c>
      <c r="U995" s="24">
        <v>2.9319999999999999E-2</v>
      </c>
    </row>
    <row r="996" spans="1:21" ht="12" customHeight="1" x14ac:dyDescent="0.25">
      <c r="A996" s="5">
        <v>2457</v>
      </c>
      <c r="B996" s="19" t="s">
        <v>504</v>
      </c>
      <c r="C996" s="19" t="s">
        <v>12</v>
      </c>
      <c r="D996" s="5" t="s">
        <v>505</v>
      </c>
      <c r="E996" s="6">
        <v>367047.67486314999</v>
      </c>
      <c r="F996" s="6">
        <v>6548041.3995228</v>
      </c>
      <c r="G996" s="7" t="str">
        <f>HYPERLINK("https://minkarta.lantmateriet.se/?e=367047,67486315&amp;n=6548041,3995228&amp;z=12&amp;profile=flygbildmedgranser&amp;background=2&amp;boundaries=true","Visa")</f>
        <v>Visa</v>
      </c>
      <c r="H996" s="5" t="s">
        <v>11</v>
      </c>
      <c r="I996" s="8">
        <v>47.945030000000003</v>
      </c>
      <c r="J996" s="9">
        <v>52.369549999999997</v>
      </c>
      <c r="K996" s="9">
        <v>53.898130000000002</v>
      </c>
      <c r="L996" s="14">
        <v>48.878979999999999</v>
      </c>
      <c r="M996" s="9">
        <v>52.798659999999998</v>
      </c>
      <c r="N996" s="9">
        <v>54.416629999999998</v>
      </c>
      <c r="O996" s="14">
        <v>48.954949999999997</v>
      </c>
      <c r="P996" s="9">
        <v>52.827109999999998</v>
      </c>
      <c r="Q996" s="9">
        <v>54.445950000000003</v>
      </c>
      <c r="R996" s="23">
        <v>30.842490000000002</v>
      </c>
      <c r="S996" s="8">
        <v>7.5969999999999996E-2</v>
      </c>
      <c r="T996" s="9">
        <v>2.845E-2</v>
      </c>
      <c r="U996" s="24">
        <v>2.9319999999999999E-2</v>
      </c>
    </row>
    <row r="997" spans="1:21" ht="12" customHeight="1" x14ac:dyDescent="0.25">
      <c r="A997" s="5">
        <v>2458</v>
      </c>
      <c r="B997" s="19" t="s">
        <v>504</v>
      </c>
      <c r="C997" s="19" t="s">
        <v>12</v>
      </c>
      <c r="D997" s="5" t="s">
        <v>505</v>
      </c>
      <c r="E997" s="6">
        <v>367052.05046524998</v>
      </c>
      <c r="F997" s="6">
        <v>6548042.1043472998</v>
      </c>
      <c r="G997" s="7" t="str">
        <f>HYPERLINK("https://minkarta.lantmateriet.se/?e=367052,05046525&amp;n=6548042,1043473&amp;z=12&amp;profile=flygbildmedgranser&amp;background=2&amp;boundaries=true","Visa")</f>
        <v>Visa</v>
      </c>
      <c r="H997" s="5" t="s">
        <v>8</v>
      </c>
      <c r="I997" s="8">
        <v>44.490780000000001</v>
      </c>
      <c r="J997" s="9">
        <v>50.108170000000001</v>
      </c>
      <c r="K997" s="9">
        <v>51.636749999999999</v>
      </c>
      <c r="L997" s="14">
        <v>45.428829999999998</v>
      </c>
      <c r="M997" s="9">
        <v>50.537280000000003</v>
      </c>
      <c r="N997" s="9">
        <v>52.155250000000002</v>
      </c>
      <c r="O997" s="14">
        <v>45.507210000000001</v>
      </c>
      <c r="P997" s="9">
        <v>50.565730000000002</v>
      </c>
      <c r="Q997" s="9">
        <v>52.184570000000001</v>
      </c>
      <c r="R997" s="23">
        <v>32.433920000000001</v>
      </c>
      <c r="S997" s="8">
        <v>7.8380000000000005E-2</v>
      </c>
      <c r="T997" s="9">
        <v>2.845E-2</v>
      </c>
      <c r="U997" s="24">
        <v>2.9319999999999999E-2</v>
      </c>
    </row>
    <row r="998" spans="1:21" ht="12" customHeight="1" x14ac:dyDescent="0.25">
      <c r="A998" s="5">
        <v>2459</v>
      </c>
      <c r="B998" s="19" t="s">
        <v>504</v>
      </c>
      <c r="C998" s="19" t="s">
        <v>12</v>
      </c>
      <c r="D998" s="5" t="s">
        <v>505</v>
      </c>
      <c r="E998" s="6">
        <v>367056.96737331001</v>
      </c>
      <c r="F998" s="6">
        <v>6548042.3085137997</v>
      </c>
      <c r="G998" s="7" t="str">
        <f>HYPERLINK("https://minkarta.lantmateriet.se/?e=367056,96737331&amp;n=6548042,3085138&amp;z=12&amp;profile=flygbildmedgranser&amp;background=2&amp;boundaries=true","Visa")</f>
        <v>Visa</v>
      </c>
      <c r="H998" s="5" t="s">
        <v>11</v>
      </c>
      <c r="I998" s="8">
        <v>46.34986</v>
      </c>
      <c r="J998" s="9">
        <v>50.556480000000001</v>
      </c>
      <c r="K998" s="9">
        <v>52.085070000000002</v>
      </c>
      <c r="L998" s="14">
        <v>47.290590000000002</v>
      </c>
      <c r="M998" s="9">
        <v>50.985590000000002</v>
      </c>
      <c r="N998" s="9">
        <v>52.603560000000002</v>
      </c>
      <c r="O998" s="14">
        <v>47.366840000000003</v>
      </c>
      <c r="P998" s="9">
        <v>51.014040000000001</v>
      </c>
      <c r="Q998" s="9">
        <v>52.63288</v>
      </c>
      <c r="R998" s="23">
        <v>24.416969999999999</v>
      </c>
      <c r="S998" s="8">
        <v>7.6249999999999998E-2</v>
      </c>
      <c r="T998" s="9">
        <v>2.845E-2</v>
      </c>
      <c r="U998" s="24">
        <v>2.9319999999999999E-2</v>
      </c>
    </row>
    <row r="999" spans="1:21" ht="12" customHeight="1" x14ac:dyDescent="0.25">
      <c r="A999" s="5">
        <v>2460</v>
      </c>
      <c r="B999" s="19" t="s">
        <v>504</v>
      </c>
      <c r="C999" s="19" t="s">
        <v>12</v>
      </c>
      <c r="D999" s="5" t="s">
        <v>505</v>
      </c>
      <c r="E999" s="6">
        <v>367061.80986947002</v>
      </c>
      <c r="F999" s="6">
        <v>6548038.0205172002</v>
      </c>
      <c r="G999" s="7" t="str">
        <f>HYPERLINK("https://minkarta.lantmateriet.se/?e=367061,80986947&amp;n=6548038,0205172&amp;z=12&amp;profile=flygbildmedgranser&amp;background=2&amp;boundaries=true","Visa")</f>
        <v>Visa</v>
      </c>
      <c r="H999" s="5" t="s">
        <v>11</v>
      </c>
      <c r="I999" s="8">
        <v>48.814599999999999</v>
      </c>
      <c r="J999" s="9">
        <v>54.032510000000002</v>
      </c>
      <c r="K999" s="9">
        <v>55.561100000000003</v>
      </c>
      <c r="L999" s="14">
        <v>49.744549999999997</v>
      </c>
      <c r="M999" s="9">
        <v>54.461620000000003</v>
      </c>
      <c r="N999" s="9">
        <v>56.079590000000003</v>
      </c>
      <c r="O999" s="14">
        <v>49.819200000000002</v>
      </c>
      <c r="P999" s="9">
        <v>54.490070000000003</v>
      </c>
      <c r="Q999" s="9">
        <v>56.108910000000002</v>
      </c>
      <c r="R999" s="23">
        <v>24.44783</v>
      </c>
      <c r="S999" s="8">
        <v>7.4649999999999994E-2</v>
      </c>
      <c r="T999" s="9">
        <v>2.845E-2</v>
      </c>
      <c r="U999" s="24">
        <v>2.9319999999999999E-2</v>
      </c>
    </row>
    <row r="1000" spans="1:21" ht="12" customHeight="1" x14ac:dyDescent="0.25">
      <c r="A1000" s="5">
        <v>2462</v>
      </c>
      <c r="B1000" s="19" t="s">
        <v>504</v>
      </c>
      <c r="C1000" s="19" t="s">
        <v>12</v>
      </c>
      <c r="D1000" s="5" t="s">
        <v>505</v>
      </c>
      <c r="E1000" s="6">
        <v>367062.30163726001</v>
      </c>
      <c r="F1000" s="6">
        <v>6548048.3174826</v>
      </c>
      <c r="G1000" s="7" t="str">
        <f>HYPERLINK("https://minkarta.lantmateriet.se/?e=367062,30163726&amp;n=6548048,3174826&amp;z=12&amp;profile=flygbildmedgranser&amp;background=2&amp;boundaries=true","Visa")</f>
        <v>Visa</v>
      </c>
      <c r="H1000" s="5" t="s">
        <v>9</v>
      </c>
      <c r="I1000" s="8">
        <v>43.683509999999998</v>
      </c>
      <c r="J1000" s="9">
        <v>50.040439999999997</v>
      </c>
      <c r="K1000" s="9">
        <v>51.569020000000002</v>
      </c>
      <c r="L1000" s="14">
        <v>44.60745</v>
      </c>
      <c r="M1000" s="9">
        <v>50.469549999999998</v>
      </c>
      <c r="N1000" s="9">
        <v>52.087510000000002</v>
      </c>
      <c r="O1000" s="14">
        <v>44.710540000000002</v>
      </c>
      <c r="P1000" s="9">
        <v>50.497999999999998</v>
      </c>
      <c r="Q1000" s="9">
        <v>52.11683</v>
      </c>
      <c r="R1000" s="23">
        <v>35.970550000000003</v>
      </c>
      <c r="S1000" s="8">
        <v>0.10309</v>
      </c>
      <c r="T1000" s="9">
        <v>2.845E-2</v>
      </c>
      <c r="U1000" s="24">
        <v>2.9319999999999999E-2</v>
      </c>
    </row>
    <row r="1001" spans="1:21" ht="12" customHeight="1" x14ac:dyDescent="0.25">
      <c r="A1001" s="5">
        <v>2463</v>
      </c>
      <c r="B1001" s="19" t="s">
        <v>504</v>
      </c>
      <c r="C1001" s="19" t="s">
        <v>12</v>
      </c>
      <c r="D1001" s="5" t="s">
        <v>505</v>
      </c>
      <c r="E1001" s="6">
        <v>367052.58200186002</v>
      </c>
      <c r="F1001" s="6">
        <v>6548051.5646174001</v>
      </c>
      <c r="G1001" s="7" t="str">
        <f>HYPERLINK("https://minkarta.lantmateriet.se/?e=367052,58200186&amp;n=6548051,5646174&amp;z=12&amp;profile=flygbildmedgranser&amp;background=2&amp;boundaries=true","Visa")</f>
        <v>Visa</v>
      </c>
      <c r="H1001" s="5" t="s">
        <v>10</v>
      </c>
      <c r="I1001" s="8">
        <v>47.75338</v>
      </c>
      <c r="J1001" s="9">
        <v>52.465809999999998</v>
      </c>
      <c r="K1001" s="9">
        <v>53.994390000000003</v>
      </c>
      <c r="L1001" s="14">
        <v>48.683799999999998</v>
      </c>
      <c r="M1001" s="9">
        <v>52.894919999999999</v>
      </c>
      <c r="N1001" s="9">
        <v>54.512889999999999</v>
      </c>
      <c r="O1001" s="14">
        <v>48.765720000000002</v>
      </c>
      <c r="P1001" s="9">
        <v>52.923369999999998</v>
      </c>
      <c r="Q1001" s="9">
        <v>54.542209999999997</v>
      </c>
      <c r="R1001" s="23">
        <v>34.303820000000002</v>
      </c>
      <c r="S1001" s="8">
        <v>8.1920000000000007E-2</v>
      </c>
      <c r="T1001" s="9">
        <v>2.845E-2</v>
      </c>
      <c r="U1001" s="24">
        <v>2.9319999999999999E-2</v>
      </c>
    </row>
    <row r="1002" spans="1:21" ht="12" customHeight="1" x14ac:dyDescent="0.25">
      <c r="A1002" s="5">
        <v>2464</v>
      </c>
      <c r="B1002" s="19" t="s">
        <v>504</v>
      </c>
      <c r="C1002" s="19" t="s">
        <v>12</v>
      </c>
      <c r="D1002" s="5" t="s">
        <v>505</v>
      </c>
      <c r="E1002" s="6">
        <v>367047.85551175999</v>
      </c>
      <c r="F1002" s="6">
        <v>6548045.8246285999</v>
      </c>
      <c r="G1002" s="7" t="str">
        <f>HYPERLINK("https://minkarta.lantmateriet.se/?e=367047,85551176&amp;n=6548045,8246286&amp;z=12&amp;profile=flygbildmedgranser&amp;background=2&amp;boundaries=true","Visa")</f>
        <v>Visa</v>
      </c>
      <c r="H1002" s="5" t="s">
        <v>10</v>
      </c>
      <c r="I1002" s="8">
        <v>47.438220000000001</v>
      </c>
      <c r="J1002" s="9">
        <v>52.40916</v>
      </c>
      <c r="K1002" s="9">
        <v>53.937739999999998</v>
      </c>
      <c r="L1002" s="14">
        <v>48.364019999999996</v>
      </c>
      <c r="M1002" s="9">
        <v>52.838270000000001</v>
      </c>
      <c r="N1002" s="9">
        <v>54.456240000000001</v>
      </c>
      <c r="O1002" s="14">
        <v>48.447200000000002</v>
      </c>
      <c r="P1002" s="9">
        <v>52.866720000000001</v>
      </c>
      <c r="Q1002" s="9">
        <v>54.48556</v>
      </c>
      <c r="R1002" s="23">
        <v>36.340969999999999</v>
      </c>
      <c r="S1002" s="8">
        <v>8.3180000000000004E-2</v>
      </c>
      <c r="T1002" s="9">
        <v>2.845E-2</v>
      </c>
      <c r="U1002" s="24">
        <v>2.9319999999999999E-2</v>
      </c>
    </row>
    <row r="1003" spans="1:21" ht="12" customHeight="1" x14ac:dyDescent="0.25">
      <c r="A1003" s="5">
        <v>2465</v>
      </c>
      <c r="B1003" s="19" t="s">
        <v>506</v>
      </c>
      <c r="C1003" s="19" t="s">
        <v>7</v>
      </c>
      <c r="D1003" s="5" t="s">
        <v>507</v>
      </c>
      <c r="E1003" s="6">
        <v>367100.85544433002</v>
      </c>
      <c r="F1003" s="6">
        <v>6548092.0032919003</v>
      </c>
      <c r="G1003" s="7" t="str">
        <f>HYPERLINK("https://minkarta.lantmateriet.se/?e=367100,85544433&amp;n=6548092,0032919&amp;z=12&amp;profile=flygbildmedgranser&amp;background=2&amp;boundaries=true","Visa")</f>
        <v>Visa</v>
      </c>
      <c r="H1003" s="5" t="s">
        <v>13</v>
      </c>
      <c r="I1003" s="8">
        <v>34.532130000000002</v>
      </c>
      <c r="J1003" s="9">
        <v>40.112000000000002</v>
      </c>
      <c r="K1003" s="9">
        <v>41.64058</v>
      </c>
      <c r="L1003" s="14">
        <v>35.463470000000001</v>
      </c>
      <c r="M1003" s="9">
        <v>40.563980000000001</v>
      </c>
      <c r="N1003" s="9">
        <v>44.034640000000003</v>
      </c>
      <c r="O1003" s="14">
        <v>35.7806</v>
      </c>
      <c r="P1003" s="9">
        <v>41.5488</v>
      </c>
      <c r="Q1003" s="9">
        <v>44.403370000000002</v>
      </c>
      <c r="R1003" s="23">
        <v>24.88541</v>
      </c>
      <c r="S1003" s="8">
        <v>0.31713000000000002</v>
      </c>
      <c r="T1003" s="9">
        <v>0.98482000000000003</v>
      </c>
      <c r="U1003" s="24">
        <v>0.36873</v>
      </c>
    </row>
    <row r="1004" spans="1:21" ht="12" customHeight="1" x14ac:dyDescent="0.25">
      <c r="A1004" s="5">
        <v>2466</v>
      </c>
      <c r="B1004" s="19" t="s">
        <v>506</v>
      </c>
      <c r="C1004" s="19" t="s">
        <v>7</v>
      </c>
      <c r="D1004" s="5" t="s">
        <v>507</v>
      </c>
      <c r="E1004" s="6">
        <v>367092.52321148</v>
      </c>
      <c r="F1004" s="6">
        <v>6548099.7654454997</v>
      </c>
      <c r="G1004" s="7" t="str">
        <f>HYPERLINK("https://minkarta.lantmateriet.se/?e=367092,52321148&amp;n=6548099,7654455&amp;z=12&amp;profile=flygbildmedgranser&amp;background=2&amp;boundaries=true","Visa")</f>
        <v>Visa</v>
      </c>
      <c r="H1004" s="5" t="s">
        <v>14</v>
      </c>
      <c r="I1004" s="8">
        <v>36.497250000000001</v>
      </c>
      <c r="J1004" s="9">
        <v>41.834380000000003</v>
      </c>
      <c r="K1004" s="9">
        <v>43.362960000000001</v>
      </c>
      <c r="L1004" s="14">
        <v>37.418559999999999</v>
      </c>
      <c r="M1004" s="9">
        <v>42.263489999999997</v>
      </c>
      <c r="N1004" s="9">
        <v>43.881450000000001</v>
      </c>
      <c r="O1004" s="14">
        <v>37.714559999999999</v>
      </c>
      <c r="P1004" s="9">
        <v>42.291939999999997</v>
      </c>
      <c r="Q1004" s="9">
        <v>43.910780000000003</v>
      </c>
      <c r="R1004" s="23">
        <v>34.429360000000003</v>
      </c>
      <c r="S1004" s="8">
        <v>0.29599999999999999</v>
      </c>
      <c r="T1004" s="9">
        <v>2.845E-2</v>
      </c>
      <c r="U1004" s="24">
        <v>2.9329999999999998E-2</v>
      </c>
    </row>
    <row r="1005" spans="1:21" ht="12" customHeight="1" x14ac:dyDescent="0.25">
      <c r="A1005" s="5">
        <v>2467</v>
      </c>
      <c r="B1005" s="19" t="s">
        <v>506</v>
      </c>
      <c r="C1005" s="19" t="s">
        <v>7</v>
      </c>
      <c r="D1005" s="5" t="s">
        <v>507</v>
      </c>
      <c r="E1005" s="6">
        <v>367090.65705759003</v>
      </c>
      <c r="F1005" s="6">
        <v>6548088.9667122997</v>
      </c>
      <c r="G1005" s="7" t="str">
        <f>HYPERLINK("https://minkarta.lantmateriet.se/?e=367090,65705759&amp;n=6548088,9667123&amp;z=12&amp;profile=flygbildmedgranser&amp;background=2&amp;boundaries=true","Visa")</f>
        <v>Visa</v>
      </c>
      <c r="H1005" s="5" t="s">
        <v>16</v>
      </c>
      <c r="I1005" s="8">
        <v>45.306690000000003</v>
      </c>
      <c r="J1005" s="9">
        <v>50.601239999999997</v>
      </c>
      <c r="K1005" s="9">
        <v>52.129829999999998</v>
      </c>
      <c r="L1005" s="14">
        <v>46.238939999999999</v>
      </c>
      <c r="M1005" s="9">
        <v>51.030349999999999</v>
      </c>
      <c r="N1005" s="9">
        <v>52.648319999999998</v>
      </c>
      <c r="O1005" s="14">
        <v>46.34348</v>
      </c>
      <c r="P1005" s="9">
        <v>51.058799999999998</v>
      </c>
      <c r="Q1005" s="9">
        <v>52.677639999999997</v>
      </c>
      <c r="R1005" s="23">
        <v>36.146889999999999</v>
      </c>
      <c r="S1005" s="8">
        <v>0.10453999999999999</v>
      </c>
      <c r="T1005" s="9">
        <v>2.845E-2</v>
      </c>
      <c r="U1005" s="24">
        <v>2.9319999999999999E-2</v>
      </c>
    </row>
    <row r="1006" spans="1:21" ht="12" customHeight="1" x14ac:dyDescent="0.25">
      <c r="A1006" s="5">
        <v>2468</v>
      </c>
      <c r="B1006" s="19" t="s">
        <v>506</v>
      </c>
      <c r="C1006" s="19" t="s">
        <v>7</v>
      </c>
      <c r="D1006" s="5" t="s">
        <v>507</v>
      </c>
      <c r="E1006" s="6">
        <v>367085.49721107999</v>
      </c>
      <c r="F1006" s="6">
        <v>6548077.0414453</v>
      </c>
      <c r="G1006" s="7" t="str">
        <f>HYPERLINK("https://minkarta.lantmateriet.se/?e=367085,49721108&amp;n=6548077,0414453&amp;z=12&amp;profile=flygbildmedgranser&amp;background=2&amp;boundaries=true","Visa")</f>
        <v>Visa</v>
      </c>
      <c r="H1006" s="5" t="s">
        <v>14</v>
      </c>
      <c r="I1006" s="8">
        <v>44.63382</v>
      </c>
      <c r="J1006" s="9">
        <v>52.639270000000003</v>
      </c>
      <c r="K1006" s="9">
        <v>54.167850000000001</v>
      </c>
      <c r="L1006" s="14">
        <v>45.552439999999997</v>
      </c>
      <c r="M1006" s="9">
        <v>53.068379999999998</v>
      </c>
      <c r="N1006" s="9">
        <v>54.686349999999997</v>
      </c>
      <c r="O1006" s="14">
        <v>45.663730000000001</v>
      </c>
      <c r="P1006" s="9">
        <v>53.096829999999997</v>
      </c>
      <c r="Q1006" s="9">
        <v>54.715670000000003</v>
      </c>
      <c r="R1006" s="23">
        <v>34.714919999999999</v>
      </c>
      <c r="S1006" s="8">
        <v>0.11129</v>
      </c>
      <c r="T1006" s="9">
        <v>2.845E-2</v>
      </c>
      <c r="U1006" s="24">
        <v>2.9319999999999999E-2</v>
      </c>
    </row>
    <row r="1007" spans="1:21" ht="12" customHeight="1" x14ac:dyDescent="0.25">
      <c r="A1007" s="5">
        <v>2469</v>
      </c>
      <c r="B1007" s="19" t="s">
        <v>506</v>
      </c>
      <c r="C1007" s="19" t="s">
        <v>7</v>
      </c>
      <c r="D1007" s="5" t="s">
        <v>507</v>
      </c>
      <c r="E1007" s="6">
        <v>367079.15055721998</v>
      </c>
      <c r="F1007" s="6">
        <v>6548068.4602134004</v>
      </c>
      <c r="G1007" s="7" t="str">
        <f>HYPERLINK("https://minkarta.lantmateriet.se/?e=367079,15055722&amp;n=6548068,4602134&amp;z=12&amp;profile=flygbildmedgranser&amp;background=2&amp;boundaries=true","Visa")</f>
        <v>Visa</v>
      </c>
      <c r="H1007" s="5" t="s">
        <v>16</v>
      </c>
      <c r="I1007" s="8">
        <v>44.781959999999998</v>
      </c>
      <c r="J1007" s="9">
        <v>50.586950000000002</v>
      </c>
      <c r="K1007" s="9">
        <v>52.11553</v>
      </c>
      <c r="L1007" s="14">
        <v>45.71049</v>
      </c>
      <c r="M1007" s="9">
        <v>51.016060000000003</v>
      </c>
      <c r="N1007" s="9">
        <v>52.63402</v>
      </c>
      <c r="O1007" s="14">
        <v>45.794989999999999</v>
      </c>
      <c r="P1007" s="9">
        <v>51.044510000000002</v>
      </c>
      <c r="Q1007" s="9">
        <v>52.663339999999998</v>
      </c>
      <c r="R1007" s="23">
        <v>36.622430000000001</v>
      </c>
      <c r="S1007" s="8">
        <v>8.4500000000000006E-2</v>
      </c>
      <c r="T1007" s="9">
        <v>2.845E-2</v>
      </c>
      <c r="U1007" s="24">
        <v>2.9319999999999999E-2</v>
      </c>
    </row>
    <row r="1008" spans="1:21" ht="12" customHeight="1" x14ac:dyDescent="0.25">
      <c r="A1008" s="5">
        <v>2470</v>
      </c>
      <c r="B1008" s="19" t="s">
        <v>506</v>
      </c>
      <c r="C1008" s="19" t="s">
        <v>7</v>
      </c>
      <c r="D1008" s="5" t="s">
        <v>507</v>
      </c>
      <c r="E1008" s="6">
        <v>367091.95129124</v>
      </c>
      <c r="F1008" s="6">
        <v>6548066.5500587998</v>
      </c>
      <c r="G1008" s="7" t="str">
        <f>HYPERLINK("https://minkarta.lantmateriet.se/?e=367091,95129124&amp;n=6548066,5500588&amp;z=12&amp;profile=flygbildmedgranser&amp;background=2&amp;boundaries=true","Visa")</f>
        <v>Visa</v>
      </c>
      <c r="H1008" s="5" t="s">
        <v>15</v>
      </c>
      <c r="I1008" s="8">
        <v>42.727780000000003</v>
      </c>
      <c r="J1008" s="9">
        <v>48.480939999999997</v>
      </c>
      <c r="K1008" s="9">
        <v>50.009520000000002</v>
      </c>
      <c r="L1008" s="14">
        <v>43.675170000000001</v>
      </c>
      <c r="M1008" s="9">
        <v>48.910049999999998</v>
      </c>
      <c r="N1008" s="9">
        <v>50.528010000000002</v>
      </c>
      <c r="O1008" s="14">
        <v>43.765160000000002</v>
      </c>
      <c r="P1008" s="9">
        <v>48.938499999999998</v>
      </c>
      <c r="Q1008" s="9">
        <v>50.55733</v>
      </c>
      <c r="R1008" s="23">
        <v>26.571819999999999</v>
      </c>
      <c r="S1008" s="8">
        <v>8.9990000000000001E-2</v>
      </c>
      <c r="T1008" s="9">
        <v>2.845E-2</v>
      </c>
      <c r="U1008" s="24">
        <v>2.9319999999999999E-2</v>
      </c>
    </row>
    <row r="1009" spans="1:21" ht="12" customHeight="1" x14ac:dyDescent="0.25">
      <c r="A1009" s="5">
        <v>2471</v>
      </c>
      <c r="B1009" s="19" t="s">
        <v>506</v>
      </c>
      <c r="C1009" s="19" t="s">
        <v>7</v>
      </c>
      <c r="D1009" s="5" t="s">
        <v>507</v>
      </c>
      <c r="E1009" s="6">
        <v>367100.95544456999</v>
      </c>
      <c r="F1009" s="6">
        <v>6548075.5412911996</v>
      </c>
      <c r="G1009" s="7" t="str">
        <f>HYPERLINK("https://minkarta.lantmateriet.se/?e=367100,95544457&amp;n=6548075,5412912&amp;z=12&amp;profile=flygbildmedgranser&amp;background=2&amp;boundaries=true","Visa")</f>
        <v>Visa</v>
      </c>
      <c r="H1009" s="5" t="s">
        <v>13</v>
      </c>
      <c r="I1009" s="8">
        <v>37.469970000000004</v>
      </c>
      <c r="J1009" s="9">
        <v>45.874099999999999</v>
      </c>
      <c r="K1009" s="9">
        <v>47.402679999999997</v>
      </c>
      <c r="L1009" s="14">
        <v>38.411020000000001</v>
      </c>
      <c r="M1009" s="9">
        <v>46.30321</v>
      </c>
      <c r="N1009" s="9">
        <v>47.92118</v>
      </c>
      <c r="O1009" s="14">
        <v>38.53143</v>
      </c>
      <c r="P1009" s="9">
        <v>46.331659999999999</v>
      </c>
      <c r="Q1009" s="9">
        <v>47.950499999999998</v>
      </c>
      <c r="R1009" s="23">
        <v>18.672249999999998</v>
      </c>
      <c r="S1009" s="8">
        <v>0.12041</v>
      </c>
      <c r="T1009" s="9">
        <v>2.845E-2</v>
      </c>
      <c r="U1009" s="24">
        <v>2.9319999999999999E-2</v>
      </c>
    </row>
    <row r="1010" spans="1:21" ht="12" customHeight="1" x14ac:dyDescent="0.25">
      <c r="A1010" s="5">
        <v>2472</v>
      </c>
      <c r="B1010" s="19" t="s">
        <v>506</v>
      </c>
      <c r="C1010" s="19" t="s">
        <v>7</v>
      </c>
      <c r="D1010" s="5" t="s">
        <v>507</v>
      </c>
      <c r="E1010" s="6">
        <v>367101.64678985003</v>
      </c>
      <c r="F1010" s="6">
        <v>6548081.6145583</v>
      </c>
      <c r="G1010" s="7" t="str">
        <f>HYPERLINK("https://minkarta.lantmateriet.se/?e=367101,64678985&amp;n=6548081,6145583&amp;z=12&amp;profile=flygbildmedgranser&amp;background=2&amp;boundaries=true","Visa")</f>
        <v>Visa</v>
      </c>
      <c r="H1010" s="5" t="s">
        <v>15</v>
      </c>
      <c r="I1010" s="8">
        <v>40.023919999999997</v>
      </c>
      <c r="J1010" s="9">
        <v>48.057870000000001</v>
      </c>
      <c r="K1010" s="9">
        <v>49.586449999999999</v>
      </c>
      <c r="L1010" s="14">
        <v>40.975009999999997</v>
      </c>
      <c r="M1010" s="9">
        <v>48.486980000000003</v>
      </c>
      <c r="N1010" s="9">
        <v>50.104939999999999</v>
      </c>
      <c r="O1010" s="14">
        <v>41.073630000000001</v>
      </c>
      <c r="P1010" s="9">
        <v>48.515430000000002</v>
      </c>
      <c r="Q1010" s="9">
        <v>50.134259999999998</v>
      </c>
      <c r="R1010" s="23">
        <v>20.482279999999999</v>
      </c>
      <c r="S1010" s="8">
        <v>9.8619999999999999E-2</v>
      </c>
      <c r="T1010" s="9">
        <v>2.845E-2</v>
      </c>
      <c r="U1010" s="24">
        <v>2.9319999999999999E-2</v>
      </c>
    </row>
    <row r="1011" spans="1:21" ht="12" customHeight="1" x14ac:dyDescent="0.25">
      <c r="A1011" s="5">
        <v>2473</v>
      </c>
      <c r="B1011" s="19" t="s">
        <v>508</v>
      </c>
      <c r="C1011" s="19" t="s">
        <v>254</v>
      </c>
      <c r="D1011" s="5" t="s">
        <v>509</v>
      </c>
      <c r="E1011" s="6">
        <v>366746.34547145001</v>
      </c>
      <c r="F1011" s="6">
        <v>6548712.7626699004</v>
      </c>
      <c r="G1011" s="7" t="str">
        <f>HYPERLINK("https://minkarta.lantmateriet.se/?e=366746,34547145&amp;n=6548712,7626699&amp;z=12&amp;profile=flygbildmedgranser&amp;background=2&amp;boundaries=true","Visa")</f>
        <v>Visa</v>
      </c>
      <c r="H1011" s="5" t="s">
        <v>11</v>
      </c>
      <c r="I1011" s="8">
        <v>52.46461</v>
      </c>
      <c r="J1011" s="9">
        <v>70.249960000000002</v>
      </c>
      <c r="K1011" s="9">
        <v>70.249960000000002</v>
      </c>
      <c r="L1011" s="14">
        <v>53.332189999999997</v>
      </c>
      <c r="M1011" s="9">
        <v>70.249960000000002</v>
      </c>
      <c r="N1011" s="9">
        <v>70.249960000000002</v>
      </c>
      <c r="O1011" s="14">
        <v>53.561410000000002</v>
      </c>
      <c r="P1011" s="9">
        <v>70.249960000000002</v>
      </c>
      <c r="Q1011" s="9">
        <v>70.249960000000002</v>
      </c>
      <c r="R1011" s="23">
        <v>36.361919999999998</v>
      </c>
      <c r="S1011" s="8">
        <v>0.22922000000000001</v>
      </c>
      <c r="T1011" s="9">
        <v>0</v>
      </c>
      <c r="U1011" s="24">
        <v>0</v>
      </c>
    </row>
    <row r="1012" spans="1:21" ht="12" customHeight="1" x14ac:dyDescent="0.25">
      <c r="A1012" s="5">
        <v>2474</v>
      </c>
      <c r="B1012" s="19" t="s">
        <v>508</v>
      </c>
      <c r="C1012" s="19" t="s">
        <v>254</v>
      </c>
      <c r="D1012" s="5" t="s">
        <v>509</v>
      </c>
      <c r="E1012" s="6">
        <v>366747.8946682</v>
      </c>
      <c r="F1012" s="6">
        <v>6548706.4995304998</v>
      </c>
      <c r="G1012" s="7" t="str">
        <f>HYPERLINK("https://minkarta.lantmateriet.se/?e=366747,8946682&amp;n=6548706,4995305&amp;z=12&amp;profile=flygbildmedgranser&amp;background=2&amp;boundaries=true","Visa")</f>
        <v>Visa</v>
      </c>
      <c r="H1012" s="5" t="s">
        <v>10</v>
      </c>
      <c r="I1012" s="8">
        <v>52.557699999999997</v>
      </c>
      <c r="J1012" s="9">
        <v>68.793819999999997</v>
      </c>
      <c r="K1012" s="9">
        <v>68.793819999999997</v>
      </c>
      <c r="L1012" s="14">
        <v>53.435389999999998</v>
      </c>
      <c r="M1012" s="9">
        <v>68.793819999999997</v>
      </c>
      <c r="N1012" s="9">
        <v>68.793819999999997</v>
      </c>
      <c r="O1012" s="14">
        <v>53.672490000000003</v>
      </c>
      <c r="P1012" s="9">
        <v>68.793819999999997</v>
      </c>
      <c r="Q1012" s="9">
        <v>68.793819999999997</v>
      </c>
      <c r="R1012" s="23">
        <v>31.14696</v>
      </c>
      <c r="S1012" s="8">
        <v>0.23710000000000001</v>
      </c>
      <c r="T1012" s="9">
        <v>0</v>
      </c>
      <c r="U1012" s="24">
        <v>0</v>
      </c>
    </row>
    <row r="1013" spans="1:21" ht="12" customHeight="1" x14ac:dyDescent="0.25">
      <c r="A1013" s="5">
        <v>2475</v>
      </c>
      <c r="B1013" s="19" t="s">
        <v>508</v>
      </c>
      <c r="C1013" s="19" t="s">
        <v>254</v>
      </c>
      <c r="D1013" s="5" t="s">
        <v>509</v>
      </c>
      <c r="E1013" s="6">
        <v>366748.82447183999</v>
      </c>
      <c r="F1013" s="6">
        <v>6548700.6236696001</v>
      </c>
      <c r="G1013" s="7" t="str">
        <f>HYPERLINK("https://minkarta.lantmateriet.se/?e=366748,82447184&amp;n=6548700,6236696&amp;z=12&amp;profile=flygbildmedgranser&amp;background=2&amp;boundaries=true","Visa")</f>
        <v>Visa</v>
      </c>
      <c r="H1013" s="5" t="s">
        <v>11</v>
      </c>
      <c r="I1013" s="8">
        <v>52.188130000000001</v>
      </c>
      <c r="J1013" s="9">
        <v>66.782039999999995</v>
      </c>
      <c r="K1013" s="9">
        <v>66.782039999999995</v>
      </c>
      <c r="L1013" s="14">
        <v>53.063409999999998</v>
      </c>
      <c r="M1013" s="9">
        <v>66.782039999999995</v>
      </c>
      <c r="N1013" s="9">
        <v>66.782039999999995</v>
      </c>
      <c r="O1013" s="14">
        <v>53.527940000000001</v>
      </c>
      <c r="P1013" s="9">
        <v>66.782039999999995</v>
      </c>
      <c r="Q1013" s="9">
        <v>66.782039999999995</v>
      </c>
      <c r="R1013" s="23">
        <v>46.047409999999999</v>
      </c>
      <c r="S1013" s="8">
        <v>0.46453</v>
      </c>
      <c r="T1013" s="9">
        <v>0</v>
      </c>
      <c r="U1013" s="24">
        <v>0</v>
      </c>
    </row>
    <row r="1014" spans="1:21" ht="12" customHeight="1" x14ac:dyDescent="0.25">
      <c r="A1014" s="5">
        <v>2476</v>
      </c>
      <c r="B1014" s="19" t="s">
        <v>508</v>
      </c>
      <c r="C1014" s="19" t="s">
        <v>254</v>
      </c>
      <c r="D1014" s="5" t="s">
        <v>509</v>
      </c>
      <c r="E1014" s="6">
        <v>366755.68683253002</v>
      </c>
      <c r="F1014" s="6">
        <v>6548703.6869716002</v>
      </c>
      <c r="G1014" s="7" t="str">
        <f>HYPERLINK("https://minkarta.lantmateriet.se/?e=366755,68683253&amp;n=6548703,6869716&amp;z=12&amp;profile=flygbildmedgranser&amp;background=2&amp;boundaries=true","Visa")</f>
        <v>Visa</v>
      </c>
      <c r="H1014" s="5" t="s">
        <v>8</v>
      </c>
      <c r="I1014" s="8">
        <v>47.763280000000002</v>
      </c>
      <c r="J1014" s="9">
        <v>65.083690000000004</v>
      </c>
      <c r="K1014" s="9">
        <v>65.083690000000004</v>
      </c>
      <c r="L1014" s="14">
        <v>48.629379999999998</v>
      </c>
      <c r="M1014" s="9">
        <v>65.083690000000004</v>
      </c>
      <c r="N1014" s="9">
        <v>65.083690000000004</v>
      </c>
      <c r="O1014" s="14">
        <v>49.257179999999998</v>
      </c>
      <c r="P1014" s="9">
        <v>65.083690000000004</v>
      </c>
      <c r="Q1014" s="9">
        <v>65.083690000000004</v>
      </c>
      <c r="R1014" s="23">
        <v>45.654389999999999</v>
      </c>
      <c r="S1014" s="8">
        <v>0.62780000000000002</v>
      </c>
      <c r="T1014" s="9">
        <v>0</v>
      </c>
      <c r="U1014" s="24">
        <v>0</v>
      </c>
    </row>
    <row r="1015" spans="1:21" ht="12" customHeight="1" x14ac:dyDescent="0.25">
      <c r="A1015" s="5">
        <v>2477</v>
      </c>
      <c r="B1015" s="19" t="s">
        <v>508</v>
      </c>
      <c r="C1015" s="19" t="s">
        <v>254</v>
      </c>
      <c r="D1015" s="5" t="s">
        <v>509</v>
      </c>
      <c r="E1015" s="6">
        <v>366751.87503130001</v>
      </c>
      <c r="F1015" s="6">
        <v>6548713.8348335996</v>
      </c>
      <c r="G1015" s="7" t="str">
        <f>HYPERLINK("https://minkarta.lantmateriet.se/?e=366751,8750313&amp;n=6548713,8348336&amp;z=12&amp;profile=flygbildmedgranser&amp;background=2&amp;boundaries=true","Visa")</f>
        <v>Visa</v>
      </c>
      <c r="H1015" s="5" t="s">
        <v>9</v>
      </c>
      <c r="I1015" s="8">
        <v>49.208829999999999</v>
      </c>
      <c r="J1015" s="9">
        <v>67.256299999999996</v>
      </c>
      <c r="K1015" s="9">
        <v>67.256299999999996</v>
      </c>
      <c r="L1015" s="14">
        <v>50.075949999999999</v>
      </c>
      <c r="M1015" s="9">
        <v>67.256299999999996</v>
      </c>
      <c r="N1015" s="9">
        <v>67.256299999999996</v>
      </c>
      <c r="O1015" s="14">
        <v>50.316589999999998</v>
      </c>
      <c r="P1015" s="9">
        <v>67.256299999999996</v>
      </c>
      <c r="Q1015" s="9">
        <v>67.256299999999996</v>
      </c>
      <c r="R1015" s="23">
        <v>34.737900000000003</v>
      </c>
      <c r="S1015" s="8">
        <v>0.24063999999999999</v>
      </c>
      <c r="T1015" s="9">
        <v>0</v>
      </c>
      <c r="U1015" s="24">
        <v>0</v>
      </c>
    </row>
    <row r="1016" spans="1:21" ht="12" customHeight="1" x14ac:dyDescent="0.25">
      <c r="A1016" s="5">
        <v>2478</v>
      </c>
      <c r="B1016" s="19" t="s">
        <v>508</v>
      </c>
      <c r="C1016" s="19" t="s">
        <v>254</v>
      </c>
      <c r="D1016" s="5" t="s">
        <v>509</v>
      </c>
      <c r="E1016" s="6">
        <v>366743.46066878003</v>
      </c>
      <c r="F1016" s="6">
        <v>6548717.0485314</v>
      </c>
      <c r="G1016" s="7" t="str">
        <f>HYPERLINK("https://minkarta.lantmateriet.se/?e=366743,46066878&amp;n=6548717,0485314&amp;z=12&amp;profile=flygbildmedgranser&amp;background=2&amp;boundaries=true","Visa")</f>
        <v>Visa</v>
      </c>
      <c r="H1016" s="5" t="s">
        <v>10</v>
      </c>
      <c r="I1016" s="8">
        <v>53.577739999999999</v>
      </c>
      <c r="J1016" s="9">
        <v>71.722660000000005</v>
      </c>
      <c r="K1016" s="9">
        <v>71.722660000000005</v>
      </c>
      <c r="L1016" s="14">
        <v>54.422060000000002</v>
      </c>
      <c r="M1016" s="9">
        <v>71.722660000000005</v>
      </c>
      <c r="N1016" s="9">
        <v>71.722660000000005</v>
      </c>
      <c r="O1016" s="14">
        <v>54.699599999999997</v>
      </c>
      <c r="P1016" s="9">
        <v>71.722660000000005</v>
      </c>
      <c r="Q1016" s="9">
        <v>71.722660000000005</v>
      </c>
      <c r="R1016" s="23">
        <v>31.909849999999999</v>
      </c>
      <c r="S1016" s="8">
        <v>0.27754000000000001</v>
      </c>
      <c r="T1016" s="9">
        <v>0</v>
      </c>
      <c r="U1016" s="24">
        <v>0</v>
      </c>
    </row>
    <row r="1017" spans="1:21" ht="12" customHeight="1" x14ac:dyDescent="0.25">
      <c r="A1017" s="5">
        <v>2479</v>
      </c>
      <c r="B1017" s="19" t="s">
        <v>510</v>
      </c>
      <c r="C1017" s="19" t="s">
        <v>254</v>
      </c>
      <c r="D1017" s="5" t="s">
        <v>511</v>
      </c>
      <c r="E1017" s="6">
        <v>366756.05216018</v>
      </c>
      <c r="F1017" s="6">
        <v>6548721.4405183997</v>
      </c>
      <c r="G1017" s="7" t="str">
        <f>HYPERLINK("https://minkarta.lantmateriet.se/?e=366756,05216018&amp;n=6548721,4405184&amp;z=12&amp;profile=flygbildmedgranser&amp;background=2&amp;boundaries=true","Visa")</f>
        <v>Visa</v>
      </c>
      <c r="H1017" s="5" t="s">
        <v>10</v>
      </c>
      <c r="I1017" s="8">
        <v>51.193890000000003</v>
      </c>
      <c r="J1017" s="9">
        <v>69.240440000000007</v>
      </c>
      <c r="K1017" s="9">
        <v>69.240440000000007</v>
      </c>
      <c r="L1017" s="14">
        <v>52.048070000000003</v>
      </c>
      <c r="M1017" s="9">
        <v>69.240440000000007</v>
      </c>
      <c r="N1017" s="9">
        <v>69.240440000000007</v>
      </c>
      <c r="O1017" s="14">
        <v>52.277070000000002</v>
      </c>
      <c r="P1017" s="9">
        <v>69.240440000000007</v>
      </c>
      <c r="Q1017" s="9">
        <v>69.240440000000007</v>
      </c>
      <c r="R1017" s="23">
        <v>30.260960000000001</v>
      </c>
      <c r="S1017" s="8">
        <v>0.22900000000000001</v>
      </c>
      <c r="T1017" s="9">
        <v>0</v>
      </c>
      <c r="U1017" s="24">
        <v>0</v>
      </c>
    </row>
    <row r="1018" spans="1:21" ht="12" customHeight="1" x14ac:dyDescent="0.25">
      <c r="A1018" s="5">
        <v>2480</v>
      </c>
      <c r="B1018" s="19" t="s">
        <v>510</v>
      </c>
      <c r="C1018" s="19" t="s">
        <v>254</v>
      </c>
      <c r="D1018" s="5" t="s">
        <v>511</v>
      </c>
      <c r="E1018" s="6">
        <v>366757.00348396</v>
      </c>
      <c r="F1018" s="6">
        <v>6548715.5926615996</v>
      </c>
      <c r="G1018" s="7" t="str">
        <f>HYPERLINK("https://minkarta.lantmateriet.se/?e=366757,00348396&amp;n=6548715,5926616&amp;z=12&amp;profile=flygbildmedgranser&amp;background=2&amp;boundaries=true","Visa")</f>
        <v>Visa</v>
      </c>
      <c r="H1018" s="5" t="s">
        <v>11</v>
      </c>
      <c r="I1018" s="8">
        <v>48.707180000000001</v>
      </c>
      <c r="J1018" s="9">
        <v>65.539820000000006</v>
      </c>
      <c r="K1018" s="9">
        <v>65.539820000000006</v>
      </c>
      <c r="L1018" s="14">
        <v>49.58334</v>
      </c>
      <c r="M1018" s="9">
        <v>65.539820000000006</v>
      </c>
      <c r="N1018" s="9">
        <v>65.539820000000006</v>
      </c>
      <c r="O1018" s="14">
        <v>49.87914</v>
      </c>
      <c r="P1018" s="9">
        <v>65.539820000000006</v>
      </c>
      <c r="Q1018" s="9">
        <v>65.539820000000006</v>
      </c>
      <c r="R1018" s="23">
        <v>36.663679999999999</v>
      </c>
      <c r="S1018" s="8">
        <v>0.29580000000000001</v>
      </c>
      <c r="T1018" s="9">
        <v>0</v>
      </c>
      <c r="U1018" s="24">
        <v>0</v>
      </c>
    </row>
    <row r="1019" spans="1:21" ht="12" customHeight="1" x14ac:dyDescent="0.25">
      <c r="A1019" s="5">
        <v>2481</v>
      </c>
      <c r="B1019" s="19" t="s">
        <v>510</v>
      </c>
      <c r="C1019" s="19" t="s">
        <v>254</v>
      </c>
      <c r="D1019" s="5" t="s">
        <v>511</v>
      </c>
      <c r="E1019" s="6">
        <v>366763.85934183002</v>
      </c>
      <c r="F1019" s="6">
        <v>6548718.6724856002</v>
      </c>
      <c r="G1019" s="7" t="str">
        <f>HYPERLINK("https://minkarta.lantmateriet.se/?e=366763,85934183&amp;n=6548718,6724856&amp;z=12&amp;profile=flygbildmedgranser&amp;background=2&amp;boundaries=true","Visa")</f>
        <v>Visa</v>
      </c>
      <c r="H1019" s="5" t="s">
        <v>8</v>
      </c>
      <c r="I1019" s="8">
        <v>43.856610000000003</v>
      </c>
      <c r="J1019" s="9">
        <v>57.644559999999998</v>
      </c>
      <c r="K1019" s="9">
        <v>57.644559999999998</v>
      </c>
      <c r="L1019" s="14">
        <v>44.749229999999997</v>
      </c>
      <c r="M1019" s="9">
        <v>57.644559999999998</v>
      </c>
      <c r="N1019" s="9">
        <v>57.644559999999998</v>
      </c>
      <c r="O1019" s="14">
        <v>45.103999999999999</v>
      </c>
      <c r="P1019" s="9">
        <v>57.644559999999998</v>
      </c>
      <c r="Q1019" s="9">
        <v>57.644559999999998</v>
      </c>
      <c r="R1019" s="23">
        <v>38.989600000000003</v>
      </c>
      <c r="S1019" s="8">
        <v>0.35476999999999997</v>
      </c>
      <c r="T1019" s="9">
        <v>0</v>
      </c>
      <c r="U1019" s="24">
        <v>0</v>
      </c>
    </row>
    <row r="1020" spans="1:21" ht="12" customHeight="1" x14ac:dyDescent="0.25">
      <c r="A1020" s="5">
        <v>2482</v>
      </c>
      <c r="B1020" s="19" t="s">
        <v>510</v>
      </c>
      <c r="C1020" s="19" t="s">
        <v>254</v>
      </c>
      <c r="D1020" s="5" t="s">
        <v>511</v>
      </c>
      <c r="E1020" s="6">
        <v>366760.0500174</v>
      </c>
      <c r="F1020" s="6">
        <v>6548728.8063428001</v>
      </c>
      <c r="G1020" s="7" t="str">
        <f>HYPERLINK("https://minkarta.lantmateriet.se/?e=366760,0500174&amp;n=6548728,8063428&amp;z=12&amp;profile=flygbildmedgranser&amp;background=2&amp;boundaries=true","Visa")</f>
        <v>Visa</v>
      </c>
      <c r="H1020" s="5" t="s">
        <v>9</v>
      </c>
      <c r="I1020" s="8">
        <v>49.056010000000001</v>
      </c>
      <c r="J1020" s="9">
        <v>68.056420000000003</v>
      </c>
      <c r="K1020" s="9">
        <v>68.056420000000003</v>
      </c>
      <c r="L1020" s="14">
        <v>49.914740000000002</v>
      </c>
      <c r="M1020" s="9">
        <v>68.055760000000006</v>
      </c>
      <c r="N1020" s="9">
        <v>68.055760000000006</v>
      </c>
      <c r="O1020" s="14">
        <v>50.17953</v>
      </c>
      <c r="P1020" s="9">
        <v>68.056420000000003</v>
      </c>
      <c r="Q1020" s="9">
        <v>68.056420000000003</v>
      </c>
      <c r="R1020" s="23">
        <v>34.512039999999999</v>
      </c>
      <c r="S1020" s="8">
        <v>0.26479000000000003</v>
      </c>
      <c r="T1020" s="9">
        <v>6.6E-4</v>
      </c>
      <c r="U1020" s="24">
        <v>6.6E-4</v>
      </c>
    </row>
    <row r="1021" spans="1:21" ht="12" customHeight="1" x14ac:dyDescent="0.25">
      <c r="A1021" s="5">
        <v>2483</v>
      </c>
      <c r="B1021" s="19" t="s">
        <v>510</v>
      </c>
      <c r="C1021" s="19" t="s">
        <v>254</v>
      </c>
      <c r="D1021" s="5" t="s">
        <v>511</v>
      </c>
      <c r="E1021" s="6">
        <v>366751.63015861</v>
      </c>
      <c r="F1021" s="6">
        <v>6548731.9680160005</v>
      </c>
      <c r="G1021" s="7" t="str">
        <f>HYPERLINK("https://minkarta.lantmateriet.se/?e=366751,63015861&amp;n=6548731,968016&amp;z=12&amp;profile=flygbildmedgranser&amp;background=2&amp;boundaries=true","Visa")</f>
        <v>Visa</v>
      </c>
      <c r="H1021" s="5" t="s">
        <v>10</v>
      </c>
      <c r="I1021" s="8">
        <v>53.609909999999999</v>
      </c>
      <c r="J1021" s="9">
        <v>72.395200000000003</v>
      </c>
      <c r="K1021" s="9">
        <v>72.395200000000003</v>
      </c>
      <c r="L1021" s="14">
        <v>54.443049999999999</v>
      </c>
      <c r="M1021" s="9">
        <v>72.395200000000003</v>
      </c>
      <c r="N1021" s="9">
        <v>72.395200000000003</v>
      </c>
      <c r="O1021" s="14">
        <v>54.731459999999998</v>
      </c>
      <c r="P1021" s="9">
        <v>72.395200000000003</v>
      </c>
      <c r="Q1021" s="9">
        <v>72.395200000000003</v>
      </c>
      <c r="R1021" s="23">
        <v>31.34787</v>
      </c>
      <c r="S1021" s="8">
        <v>0.28841</v>
      </c>
      <c r="T1021" s="9">
        <v>0</v>
      </c>
      <c r="U1021" s="24">
        <v>0</v>
      </c>
    </row>
    <row r="1022" spans="1:21" ht="12" customHeight="1" x14ac:dyDescent="0.25">
      <c r="A1022" s="5">
        <v>2484</v>
      </c>
      <c r="B1022" s="19" t="s">
        <v>510</v>
      </c>
      <c r="C1022" s="19" t="s">
        <v>254</v>
      </c>
      <c r="D1022" s="5" t="s">
        <v>511</v>
      </c>
      <c r="E1022" s="6">
        <v>366754.49098344002</v>
      </c>
      <c r="F1022" s="6">
        <v>6548727.6681618998</v>
      </c>
      <c r="G1022" s="7" t="str">
        <f>HYPERLINK("https://minkarta.lantmateriet.se/?e=366754,49098344&amp;n=6548727,6681619&amp;z=12&amp;profile=flygbildmedgranser&amp;background=2&amp;boundaries=true","Visa")</f>
        <v>Visa</v>
      </c>
      <c r="H1022" s="5" t="s">
        <v>11</v>
      </c>
      <c r="I1022" s="8">
        <v>51.142879999999998</v>
      </c>
      <c r="J1022" s="9">
        <v>70.815359999999998</v>
      </c>
      <c r="K1022" s="9">
        <v>70.815359999999998</v>
      </c>
      <c r="L1022" s="14">
        <v>51.991509999999998</v>
      </c>
      <c r="M1022" s="9">
        <v>70.815359999999998</v>
      </c>
      <c r="N1022" s="9">
        <v>70.815359999999998</v>
      </c>
      <c r="O1022" s="14">
        <v>52.240969999999997</v>
      </c>
      <c r="P1022" s="9">
        <v>70.815359999999998</v>
      </c>
      <c r="Q1022" s="9">
        <v>70.815359999999998</v>
      </c>
      <c r="R1022" s="23">
        <v>35.62229</v>
      </c>
      <c r="S1022" s="8">
        <v>0.24945999999999999</v>
      </c>
      <c r="T1022" s="9">
        <v>0</v>
      </c>
      <c r="U1022" s="24">
        <v>0</v>
      </c>
    </row>
    <row r="1023" spans="1:21" ht="12" customHeight="1" x14ac:dyDescent="0.25">
      <c r="A1023" s="5">
        <v>2485</v>
      </c>
      <c r="B1023" s="19" t="s">
        <v>512</v>
      </c>
      <c r="C1023" s="19" t="s">
        <v>254</v>
      </c>
      <c r="D1023" s="5" t="s">
        <v>513</v>
      </c>
      <c r="E1023" s="6">
        <v>366773.24082721001</v>
      </c>
      <c r="F1023" s="6">
        <v>6548732.8319635997</v>
      </c>
      <c r="G1023" s="7" t="str">
        <f>HYPERLINK("https://minkarta.lantmateriet.se/?e=366773,24082721&amp;n=6548732,8319636&amp;z=12&amp;profile=flygbildmedgranser&amp;background=2&amp;boundaries=true","Visa")</f>
        <v>Visa</v>
      </c>
      <c r="H1023" s="5" t="s">
        <v>8</v>
      </c>
      <c r="I1023" s="8">
        <v>46.046250000000001</v>
      </c>
      <c r="J1023" s="9">
        <v>54.971089999999997</v>
      </c>
      <c r="K1023" s="9">
        <v>54.971089999999997</v>
      </c>
      <c r="L1023" s="14">
        <v>46.950809999999997</v>
      </c>
      <c r="M1023" s="9">
        <v>54.971089999999997</v>
      </c>
      <c r="N1023" s="9">
        <v>54.971089999999997</v>
      </c>
      <c r="O1023" s="14">
        <v>47.198749999999997</v>
      </c>
      <c r="P1023" s="9">
        <v>54.971089999999997</v>
      </c>
      <c r="Q1023" s="9">
        <v>54.971089999999997</v>
      </c>
      <c r="R1023" s="23">
        <v>40.840350000000001</v>
      </c>
      <c r="S1023" s="8">
        <v>0.24793999999999999</v>
      </c>
      <c r="T1023" s="9">
        <v>0</v>
      </c>
      <c r="U1023" s="24">
        <v>0</v>
      </c>
    </row>
    <row r="1024" spans="1:21" ht="12" customHeight="1" x14ac:dyDescent="0.25">
      <c r="A1024" s="5">
        <v>2486</v>
      </c>
      <c r="B1024" s="19" t="s">
        <v>512</v>
      </c>
      <c r="C1024" s="19" t="s">
        <v>254</v>
      </c>
      <c r="D1024" s="5" t="s">
        <v>513</v>
      </c>
      <c r="E1024" s="6">
        <v>366769.4305136</v>
      </c>
      <c r="F1024" s="6">
        <v>6548742.9498453001</v>
      </c>
      <c r="G1024" s="7" t="str">
        <f>HYPERLINK("https://minkarta.lantmateriet.se/?e=366769,4305136&amp;n=6548742,9498453&amp;z=12&amp;profile=flygbildmedgranser&amp;background=2&amp;boundaries=true","Visa")</f>
        <v>Visa</v>
      </c>
      <c r="H1024" s="5" t="s">
        <v>9</v>
      </c>
      <c r="I1024" s="8">
        <v>50.138829999999999</v>
      </c>
      <c r="J1024" s="9">
        <v>67.764039999999994</v>
      </c>
      <c r="K1024" s="9">
        <v>67.764039999999994</v>
      </c>
      <c r="L1024" s="14">
        <v>51.005560000000003</v>
      </c>
      <c r="M1024" s="9">
        <v>67.764039999999994</v>
      </c>
      <c r="N1024" s="9">
        <v>67.764039999999994</v>
      </c>
      <c r="O1024" s="14">
        <v>51.192189999999997</v>
      </c>
      <c r="P1024" s="9">
        <v>67.764039999999994</v>
      </c>
      <c r="Q1024" s="9">
        <v>67.764039999999994</v>
      </c>
      <c r="R1024" s="23">
        <v>32.812150000000003</v>
      </c>
      <c r="S1024" s="8">
        <v>0.18662999999999999</v>
      </c>
      <c r="T1024" s="9">
        <v>0</v>
      </c>
      <c r="U1024" s="24">
        <v>0</v>
      </c>
    </row>
    <row r="1025" spans="1:21" ht="12" customHeight="1" x14ac:dyDescent="0.25">
      <c r="A1025" s="5">
        <v>2487</v>
      </c>
      <c r="B1025" s="19" t="s">
        <v>512</v>
      </c>
      <c r="C1025" s="19" t="s">
        <v>254</v>
      </c>
      <c r="D1025" s="5" t="s">
        <v>513</v>
      </c>
      <c r="E1025" s="6">
        <v>366760.99908073002</v>
      </c>
      <c r="F1025" s="6">
        <v>6548746.0568963997</v>
      </c>
      <c r="G1025" s="7" t="str">
        <f>HYPERLINK("https://minkarta.lantmateriet.se/?e=366760,99908073&amp;n=6548746,0568964&amp;z=12&amp;profile=flygbildmedgranser&amp;background=2&amp;boundaries=true","Visa")</f>
        <v>Visa</v>
      </c>
      <c r="H1025" s="5" t="s">
        <v>10</v>
      </c>
      <c r="I1025" s="8">
        <v>53.476500000000001</v>
      </c>
      <c r="J1025" s="9">
        <v>72.285390000000007</v>
      </c>
      <c r="K1025" s="9">
        <v>72.285390000000007</v>
      </c>
      <c r="L1025" s="14">
        <v>54.305720000000001</v>
      </c>
      <c r="M1025" s="9">
        <v>72.285390000000007</v>
      </c>
      <c r="N1025" s="9">
        <v>72.285390000000007</v>
      </c>
      <c r="O1025" s="14">
        <v>54.60904</v>
      </c>
      <c r="P1025" s="9">
        <v>72.285390000000007</v>
      </c>
      <c r="Q1025" s="9">
        <v>72.285390000000007</v>
      </c>
      <c r="R1025" s="23">
        <v>31.24634</v>
      </c>
      <c r="S1025" s="8">
        <v>0.30331999999999998</v>
      </c>
      <c r="T1025" s="9">
        <v>0</v>
      </c>
      <c r="U1025" s="24">
        <v>0</v>
      </c>
    </row>
    <row r="1026" spans="1:21" ht="12" customHeight="1" x14ac:dyDescent="0.25">
      <c r="A1026" s="5">
        <v>2488</v>
      </c>
      <c r="B1026" s="19" t="s">
        <v>512</v>
      </c>
      <c r="C1026" s="19" t="s">
        <v>254</v>
      </c>
      <c r="D1026" s="5" t="s">
        <v>513</v>
      </c>
      <c r="E1026" s="6">
        <v>366763.83205228002</v>
      </c>
      <c r="F1026" s="6">
        <v>6548741.7646167995</v>
      </c>
      <c r="G1026" s="7" t="str">
        <f>HYPERLINK("https://minkarta.lantmateriet.se/?e=366763,83205228&amp;n=6548741,7646168&amp;z=12&amp;profile=flygbildmedgranser&amp;background=2&amp;boundaries=true","Visa")</f>
        <v>Visa</v>
      </c>
      <c r="H1026" s="5" t="s">
        <v>11</v>
      </c>
      <c r="I1026" s="8">
        <v>50.73509</v>
      </c>
      <c r="J1026" s="9">
        <v>70.809139999999999</v>
      </c>
      <c r="K1026" s="9">
        <v>70.809139999999999</v>
      </c>
      <c r="L1026" s="14">
        <v>51.584139999999998</v>
      </c>
      <c r="M1026" s="9">
        <v>70.809139999999999</v>
      </c>
      <c r="N1026" s="9">
        <v>70.809139999999999</v>
      </c>
      <c r="O1026" s="14">
        <v>51.853169999999999</v>
      </c>
      <c r="P1026" s="9">
        <v>70.809139999999999</v>
      </c>
      <c r="Q1026" s="9">
        <v>70.809139999999999</v>
      </c>
      <c r="R1026" s="23">
        <v>34.020919999999997</v>
      </c>
      <c r="S1026" s="8">
        <v>0.26902999999999999</v>
      </c>
      <c r="T1026" s="9">
        <v>0</v>
      </c>
      <c r="U1026" s="24">
        <v>0</v>
      </c>
    </row>
    <row r="1027" spans="1:21" ht="12" customHeight="1" x14ac:dyDescent="0.25">
      <c r="A1027" s="5">
        <v>2490</v>
      </c>
      <c r="B1027" s="19" t="s">
        <v>512</v>
      </c>
      <c r="C1027" s="19" t="s">
        <v>254</v>
      </c>
      <c r="D1027" s="5" t="s">
        <v>513</v>
      </c>
      <c r="E1027" s="6">
        <v>366766.39989914</v>
      </c>
      <c r="F1027" s="6">
        <v>6548729.8032183005</v>
      </c>
      <c r="G1027" s="7" t="str">
        <f>HYPERLINK("https://minkarta.lantmateriet.se/?e=366766,39989914&amp;n=6548729,8032183&amp;z=12&amp;profile=flygbildmedgranser&amp;background=2&amp;boundaries=true","Visa")</f>
        <v>Visa</v>
      </c>
      <c r="H1027" s="5" t="s">
        <v>11</v>
      </c>
      <c r="I1027" s="8">
        <v>48.015990000000002</v>
      </c>
      <c r="J1027" s="9">
        <v>65.288960000000003</v>
      </c>
      <c r="K1027" s="9">
        <v>65.288960000000003</v>
      </c>
      <c r="L1027" s="14">
        <v>48.895130000000002</v>
      </c>
      <c r="M1027" s="9">
        <v>65.288960000000003</v>
      </c>
      <c r="N1027" s="9">
        <v>65.288960000000003</v>
      </c>
      <c r="O1027" s="14">
        <v>49.149000000000001</v>
      </c>
      <c r="P1027" s="9">
        <v>65.288960000000003</v>
      </c>
      <c r="Q1027" s="9">
        <v>65.288960000000003</v>
      </c>
      <c r="R1027" s="23">
        <v>42.685169999999999</v>
      </c>
      <c r="S1027" s="8">
        <v>0.25386999999999998</v>
      </c>
      <c r="T1027" s="9">
        <v>0</v>
      </c>
      <c r="U1027" s="24">
        <v>0</v>
      </c>
    </row>
    <row r="1028" spans="1:21" ht="12" customHeight="1" x14ac:dyDescent="0.25">
      <c r="A1028" s="5">
        <v>2491</v>
      </c>
      <c r="B1028" s="19" t="s">
        <v>514</v>
      </c>
      <c r="C1028" s="19" t="s">
        <v>254</v>
      </c>
      <c r="D1028" s="5" t="s">
        <v>515</v>
      </c>
      <c r="E1028" s="6">
        <v>366783.70585601998</v>
      </c>
      <c r="F1028" s="6">
        <v>6548746.0440071002</v>
      </c>
      <c r="G1028" s="7" t="str">
        <f>HYPERLINK("https://minkarta.lantmateriet.se/?e=366783,70585602&amp;n=6548746,0440071&amp;z=12&amp;profile=flygbildmedgranser&amp;background=2&amp;boundaries=true","Visa")</f>
        <v>Visa</v>
      </c>
      <c r="H1028" s="5" t="s">
        <v>8</v>
      </c>
      <c r="I1028" s="8">
        <v>44.828049999999998</v>
      </c>
      <c r="J1028" s="9">
        <v>54.821899999999999</v>
      </c>
      <c r="K1028" s="9">
        <v>54.821899999999999</v>
      </c>
      <c r="L1028" s="14">
        <v>45.732640000000004</v>
      </c>
      <c r="M1028" s="9">
        <v>54.821899999999999</v>
      </c>
      <c r="N1028" s="9">
        <v>54.821899999999999</v>
      </c>
      <c r="O1028" s="14">
        <v>46.004399999999997</v>
      </c>
      <c r="P1028" s="9">
        <v>54.821899999999999</v>
      </c>
      <c r="Q1028" s="9">
        <v>54.821899999999999</v>
      </c>
      <c r="R1028" s="23">
        <v>41.058250000000001</v>
      </c>
      <c r="S1028" s="8">
        <v>0.27176</v>
      </c>
      <c r="T1028" s="9">
        <v>0</v>
      </c>
      <c r="U1028" s="24">
        <v>0</v>
      </c>
    </row>
    <row r="1029" spans="1:21" ht="12" customHeight="1" x14ac:dyDescent="0.25">
      <c r="A1029" s="5">
        <v>2492</v>
      </c>
      <c r="B1029" s="19" t="s">
        <v>514</v>
      </c>
      <c r="C1029" s="19" t="s">
        <v>254</v>
      </c>
      <c r="D1029" s="5" t="s">
        <v>515</v>
      </c>
      <c r="E1029" s="6">
        <v>366779.96553365001</v>
      </c>
      <c r="F1029" s="6">
        <v>6548756.1833319999</v>
      </c>
      <c r="G1029" s="7" t="str">
        <f>HYPERLINK("https://minkarta.lantmateriet.se/?e=366779,96553365&amp;n=6548756,183332&amp;z=12&amp;profile=flygbildmedgranser&amp;background=2&amp;boundaries=true","Visa")</f>
        <v>Visa</v>
      </c>
      <c r="H1029" s="5" t="s">
        <v>9</v>
      </c>
      <c r="I1029" s="8">
        <v>49.153060000000004</v>
      </c>
      <c r="J1029" s="9">
        <v>69.499210000000005</v>
      </c>
      <c r="K1029" s="9">
        <v>69.499210000000005</v>
      </c>
      <c r="L1029" s="14">
        <v>50.021479999999997</v>
      </c>
      <c r="M1029" s="9">
        <v>69.499210000000005</v>
      </c>
      <c r="N1029" s="9">
        <v>69.499210000000005</v>
      </c>
      <c r="O1029" s="14">
        <v>50.207389999999997</v>
      </c>
      <c r="P1029" s="9">
        <v>69.499210000000005</v>
      </c>
      <c r="Q1029" s="9">
        <v>69.499210000000005</v>
      </c>
      <c r="R1029" s="23">
        <v>36.721980000000002</v>
      </c>
      <c r="S1029" s="8">
        <v>0.18590999999999999</v>
      </c>
      <c r="T1029" s="9">
        <v>0</v>
      </c>
      <c r="U1029" s="24">
        <v>0</v>
      </c>
    </row>
    <row r="1030" spans="1:21" ht="12" customHeight="1" x14ac:dyDescent="0.25">
      <c r="A1030" s="5">
        <v>2493</v>
      </c>
      <c r="B1030" s="19" t="s">
        <v>514</v>
      </c>
      <c r="C1030" s="19" t="s">
        <v>254</v>
      </c>
      <c r="D1030" s="5" t="s">
        <v>515</v>
      </c>
      <c r="E1030" s="6">
        <v>366771.58319909999</v>
      </c>
      <c r="F1030" s="6">
        <v>6548759.3000768004</v>
      </c>
      <c r="G1030" s="7" t="str">
        <f>HYPERLINK("https://minkarta.lantmateriet.se/?e=366771,5831991&amp;n=6548759,3000768&amp;z=12&amp;profile=flygbildmedgranser&amp;background=2&amp;boundaries=true","Visa")</f>
        <v>Visa</v>
      </c>
      <c r="H1030" s="5" t="s">
        <v>10</v>
      </c>
      <c r="I1030" s="8">
        <v>52.806469999999997</v>
      </c>
      <c r="J1030" s="9">
        <v>72.495739999999998</v>
      </c>
      <c r="K1030" s="9">
        <v>72.495739999999998</v>
      </c>
      <c r="L1030" s="14">
        <v>53.636989999999997</v>
      </c>
      <c r="M1030" s="9">
        <v>72.495739999999998</v>
      </c>
      <c r="N1030" s="9">
        <v>72.495739999999998</v>
      </c>
      <c r="O1030" s="14">
        <v>53.913690000000003</v>
      </c>
      <c r="P1030" s="9">
        <v>72.495739999999998</v>
      </c>
      <c r="Q1030" s="9">
        <v>72.495739999999998</v>
      </c>
      <c r="R1030" s="23">
        <v>30.619520000000001</v>
      </c>
      <c r="S1030" s="8">
        <v>0.2767</v>
      </c>
      <c r="T1030" s="9">
        <v>0</v>
      </c>
      <c r="U1030" s="24">
        <v>0</v>
      </c>
    </row>
    <row r="1031" spans="1:21" ht="12" customHeight="1" x14ac:dyDescent="0.25">
      <c r="A1031" s="5">
        <v>2494</v>
      </c>
      <c r="B1031" s="19" t="s">
        <v>514</v>
      </c>
      <c r="C1031" s="19" t="s">
        <v>254</v>
      </c>
      <c r="D1031" s="5" t="s">
        <v>515</v>
      </c>
      <c r="E1031" s="6">
        <v>366774.33446267003</v>
      </c>
      <c r="F1031" s="6">
        <v>6548755.0181756997</v>
      </c>
      <c r="G1031" s="7" t="str">
        <f>HYPERLINK("https://minkarta.lantmateriet.se/?e=366774,33446267&amp;n=6548755,0181757&amp;z=12&amp;profile=flygbildmedgranser&amp;background=2&amp;boundaries=true","Visa")</f>
        <v>Visa</v>
      </c>
      <c r="H1031" s="5" t="s">
        <v>11</v>
      </c>
      <c r="I1031" s="8">
        <v>50.442909999999998</v>
      </c>
      <c r="J1031" s="9">
        <v>70.405680000000004</v>
      </c>
      <c r="K1031" s="9">
        <v>70.405680000000004</v>
      </c>
      <c r="L1031" s="14">
        <v>51.289940000000001</v>
      </c>
      <c r="M1031" s="9">
        <v>70.405680000000004</v>
      </c>
      <c r="N1031" s="9">
        <v>70.405680000000004</v>
      </c>
      <c r="O1031" s="14">
        <v>51.534610000000001</v>
      </c>
      <c r="P1031" s="9">
        <v>70.405680000000004</v>
      </c>
      <c r="Q1031" s="9">
        <v>70.405680000000004</v>
      </c>
      <c r="R1031" s="23">
        <v>36.31982</v>
      </c>
      <c r="S1031" s="8">
        <v>0.24467</v>
      </c>
      <c r="T1031" s="9">
        <v>0</v>
      </c>
      <c r="U1031" s="24">
        <v>0</v>
      </c>
    </row>
    <row r="1032" spans="1:21" ht="12" customHeight="1" x14ac:dyDescent="0.25">
      <c r="A1032" s="5">
        <v>2495</v>
      </c>
      <c r="B1032" s="19" t="s">
        <v>514</v>
      </c>
      <c r="C1032" s="19" t="s">
        <v>254</v>
      </c>
      <c r="D1032" s="5" t="s">
        <v>515</v>
      </c>
      <c r="E1032" s="6">
        <v>366775.87808343</v>
      </c>
      <c r="F1032" s="6">
        <v>6548748.8104005996</v>
      </c>
      <c r="G1032" s="7" t="str">
        <f>HYPERLINK("https://minkarta.lantmateriet.se/?e=366775,87808343&amp;n=6548748,8104006&amp;z=12&amp;profile=flygbildmedgranser&amp;background=2&amp;boundaries=true","Visa")</f>
        <v>Visa</v>
      </c>
      <c r="H1032" s="5" t="s">
        <v>10</v>
      </c>
      <c r="I1032" s="8">
        <v>50.723880000000001</v>
      </c>
      <c r="J1032" s="9">
        <v>68.035679999999999</v>
      </c>
      <c r="K1032" s="9">
        <v>68.035679999999999</v>
      </c>
      <c r="L1032" s="14">
        <v>51.58484</v>
      </c>
      <c r="M1032" s="9">
        <v>68.035679999999999</v>
      </c>
      <c r="N1032" s="9">
        <v>68.035679999999999</v>
      </c>
      <c r="O1032" s="14">
        <v>51.791339999999998</v>
      </c>
      <c r="P1032" s="9">
        <v>68.035679999999999</v>
      </c>
      <c r="Q1032" s="9">
        <v>68.035679999999999</v>
      </c>
      <c r="R1032" s="23">
        <v>29.634049999999998</v>
      </c>
      <c r="S1032" s="8">
        <v>0.20649999999999999</v>
      </c>
      <c r="T1032" s="9">
        <v>0</v>
      </c>
      <c r="U1032" s="24">
        <v>0</v>
      </c>
    </row>
    <row r="1033" spans="1:21" ht="12" customHeight="1" x14ac:dyDescent="0.25">
      <c r="A1033" s="5">
        <v>2496</v>
      </c>
      <c r="B1033" s="19" t="s">
        <v>514</v>
      </c>
      <c r="C1033" s="19" t="s">
        <v>254</v>
      </c>
      <c r="D1033" s="5" t="s">
        <v>515</v>
      </c>
      <c r="E1033" s="6">
        <v>366776.86995081999</v>
      </c>
      <c r="F1033" s="6">
        <v>6548742.9391836002</v>
      </c>
      <c r="G1033" s="7" t="str">
        <f>HYPERLINK("https://minkarta.lantmateriet.se/?e=366776,86995082&amp;n=6548742,9391836&amp;z=12&amp;profile=flygbildmedgranser&amp;background=2&amp;boundaries=true","Visa")</f>
        <v>Visa</v>
      </c>
      <c r="H1033" s="5" t="s">
        <v>11</v>
      </c>
      <c r="I1033" s="8">
        <v>48.120829999999998</v>
      </c>
      <c r="J1033" s="9">
        <v>64.796760000000006</v>
      </c>
      <c r="K1033" s="9">
        <v>64.796760000000006</v>
      </c>
      <c r="L1033" s="14">
        <v>49.000169999999997</v>
      </c>
      <c r="M1033" s="9">
        <v>64.796760000000006</v>
      </c>
      <c r="N1033" s="9">
        <v>64.796760000000006</v>
      </c>
      <c r="O1033" s="14">
        <v>49.202300000000001</v>
      </c>
      <c r="P1033" s="9">
        <v>64.796760000000006</v>
      </c>
      <c r="Q1033" s="9">
        <v>64.796760000000006</v>
      </c>
      <c r="R1033" s="23">
        <v>40.792160000000003</v>
      </c>
      <c r="S1033" s="8">
        <v>0.20213</v>
      </c>
      <c r="T1033" s="9">
        <v>0</v>
      </c>
      <c r="U1033" s="24">
        <v>0</v>
      </c>
    </row>
    <row r="1034" spans="1:21" ht="12" customHeight="1" x14ac:dyDescent="0.25">
      <c r="A1034" s="5">
        <v>2497</v>
      </c>
      <c r="B1034" s="19" t="s">
        <v>516</v>
      </c>
      <c r="C1034" s="19" t="s">
        <v>254</v>
      </c>
      <c r="D1034" s="5" t="s">
        <v>517</v>
      </c>
      <c r="E1034" s="6">
        <v>366801.69833188999</v>
      </c>
      <c r="F1034" s="6">
        <v>6548734.8259706004</v>
      </c>
      <c r="G1034" s="7" t="str">
        <f>HYPERLINK("https://minkarta.lantmateriet.se/?e=366801,69833189&amp;n=6548734,8259706&amp;z=12&amp;profile=flygbildmedgranser&amp;background=2&amp;boundaries=true","Visa")</f>
        <v>Visa</v>
      </c>
      <c r="H1034" s="5" t="s">
        <v>8</v>
      </c>
      <c r="I1034" s="8">
        <v>44.604529999999997</v>
      </c>
      <c r="J1034" s="9">
        <v>49.856299999999997</v>
      </c>
      <c r="K1034" s="9">
        <v>51.425049999999999</v>
      </c>
      <c r="L1034" s="14">
        <v>45.513399999999997</v>
      </c>
      <c r="M1034" s="9">
        <v>50.312820000000002</v>
      </c>
      <c r="N1034" s="9">
        <v>51.930549999999997</v>
      </c>
      <c r="O1034" s="14">
        <v>45.688079999999999</v>
      </c>
      <c r="P1034" s="9">
        <v>50.343910000000001</v>
      </c>
      <c r="Q1034" s="9">
        <v>51.960149999999999</v>
      </c>
      <c r="R1034" s="23">
        <v>36.502079999999999</v>
      </c>
      <c r="S1034" s="8">
        <v>0.17468</v>
      </c>
      <c r="T1034" s="9">
        <v>3.109E-2</v>
      </c>
      <c r="U1034" s="24">
        <v>2.9600000000000001E-2</v>
      </c>
    </row>
    <row r="1035" spans="1:21" ht="12" customHeight="1" x14ac:dyDescent="0.25">
      <c r="A1035" s="5">
        <v>2498</v>
      </c>
      <c r="B1035" s="19" t="s">
        <v>516</v>
      </c>
      <c r="C1035" s="19" t="s">
        <v>254</v>
      </c>
      <c r="D1035" s="5" t="s">
        <v>517</v>
      </c>
      <c r="E1035" s="6">
        <v>366800.90753114002</v>
      </c>
      <c r="F1035" s="6">
        <v>6548741.5773336999</v>
      </c>
      <c r="G1035" s="7" t="str">
        <f>HYPERLINK("https://minkarta.lantmateriet.se/?e=366800,90753114&amp;n=6548741,5773337&amp;z=12&amp;profile=flygbildmedgranser&amp;background=2&amp;boundaries=true","Visa")</f>
        <v>Visa</v>
      </c>
      <c r="H1035" s="5" t="s">
        <v>9</v>
      </c>
      <c r="I1035" s="8">
        <v>45.893320000000003</v>
      </c>
      <c r="J1035" s="9">
        <v>57.347000000000001</v>
      </c>
      <c r="K1035" s="9">
        <v>57.347000000000001</v>
      </c>
      <c r="L1035" s="14">
        <v>46.7941</v>
      </c>
      <c r="M1035" s="9">
        <v>57.347000000000001</v>
      </c>
      <c r="N1035" s="9">
        <v>57.347000000000001</v>
      </c>
      <c r="O1035" s="14">
        <v>46.883650000000003</v>
      </c>
      <c r="P1035" s="9">
        <v>57.347000000000001</v>
      </c>
      <c r="Q1035" s="9">
        <v>57.347000000000001</v>
      </c>
      <c r="R1035" s="23">
        <v>32.419069999999998</v>
      </c>
      <c r="S1035" s="8">
        <v>8.9550000000000005E-2</v>
      </c>
      <c r="T1035" s="9">
        <v>0</v>
      </c>
      <c r="U1035" s="24">
        <v>0</v>
      </c>
    </row>
    <row r="1036" spans="1:21" ht="12" customHeight="1" x14ac:dyDescent="0.25">
      <c r="A1036" s="5">
        <v>2499</v>
      </c>
      <c r="B1036" s="19" t="s">
        <v>516</v>
      </c>
      <c r="C1036" s="19" t="s">
        <v>254</v>
      </c>
      <c r="D1036" s="5" t="s">
        <v>517</v>
      </c>
      <c r="E1036" s="6">
        <v>366794.37866862997</v>
      </c>
      <c r="F1036" s="6">
        <v>6548739.6840311997</v>
      </c>
      <c r="G1036" s="7" t="str">
        <f>HYPERLINK("https://minkarta.lantmateriet.se/?e=366794,37866863&amp;n=6548739,6840312&amp;z=12&amp;profile=flygbildmedgranser&amp;background=2&amp;boundaries=true","Visa")</f>
        <v>Visa</v>
      </c>
      <c r="H1036" s="5" t="s">
        <v>10</v>
      </c>
      <c r="I1036" s="8">
        <v>47.37303</v>
      </c>
      <c r="J1036" s="9">
        <v>59.683770000000003</v>
      </c>
      <c r="K1036" s="9">
        <v>59.683770000000003</v>
      </c>
      <c r="L1036" s="14">
        <v>48.273609999999998</v>
      </c>
      <c r="M1036" s="9">
        <v>59.683770000000003</v>
      </c>
      <c r="N1036" s="9">
        <v>59.683770000000003</v>
      </c>
      <c r="O1036" s="14">
        <v>48.423070000000003</v>
      </c>
      <c r="P1036" s="9">
        <v>59.683770000000003</v>
      </c>
      <c r="Q1036" s="9">
        <v>59.683770000000003</v>
      </c>
      <c r="R1036" s="23">
        <v>35.188960000000002</v>
      </c>
      <c r="S1036" s="8">
        <v>0.14946000000000001</v>
      </c>
      <c r="T1036" s="9">
        <v>0</v>
      </c>
      <c r="U1036" s="24">
        <v>0</v>
      </c>
    </row>
    <row r="1037" spans="1:21" ht="12" customHeight="1" x14ac:dyDescent="0.25">
      <c r="A1037" s="5">
        <v>2500</v>
      </c>
      <c r="B1037" s="19" t="s">
        <v>516</v>
      </c>
      <c r="C1037" s="19" t="s">
        <v>254</v>
      </c>
      <c r="D1037" s="5" t="s">
        <v>517</v>
      </c>
      <c r="E1037" s="6">
        <v>366795.16947139002</v>
      </c>
      <c r="F1037" s="6">
        <v>6548732.9326699004</v>
      </c>
      <c r="G1037" s="7" t="str">
        <f>HYPERLINK("https://minkarta.lantmateriet.se/?e=366795,16947139&amp;n=6548732,9326699&amp;z=12&amp;profile=flygbildmedgranser&amp;background=2&amp;boundaries=true","Visa")</f>
        <v>Visa</v>
      </c>
      <c r="H1037" s="5" t="s">
        <v>11</v>
      </c>
      <c r="I1037" s="8">
        <v>44.788960000000003</v>
      </c>
      <c r="J1037" s="9">
        <v>56.998840000000001</v>
      </c>
      <c r="K1037" s="9">
        <v>56.998840000000001</v>
      </c>
      <c r="L1037" s="14">
        <v>45.701439999999998</v>
      </c>
      <c r="M1037" s="9">
        <v>56.998840000000001</v>
      </c>
      <c r="N1037" s="9">
        <v>56.998840000000001</v>
      </c>
      <c r="O1037" s="14">
        <v>46.085039999999999</v>
      </c>
      <c r="P1037" s="9">
        <v>56.998840000000001</v>
      </c>
      <c r="Q1037" s="9">
        <v>56.998840000000001</v>
      </c>
      <c r="R1037" s="23">
        <v>40.454439999999998</v>
      </c>
      <c r="S1037" s="8">
        <v>0.3836</v>
      </c>
      <c r="T1037" s="9">
        <v>0</v>
      </c>
      <c r="U1037" s="24">
        <v>0</v>
      </c>
    </row>
    <row r="1038" spans="1:21" ht="12" customHeight="1" x14ac:dyDescent="0.25">
      <c r="A1038" s="5">
        <v>2501</v>
      </c>
      <c r="B1038" s="19" t="s">
        <v>518</v>
      </c>
      <c r="C1038" s="19" t="s">
        <v>254</v>
      </c>
      <c r="D1038" s="5" t="s">
        <v>519</v>
      </c>
      <c r="E1038" s="6">
        <v>366811.47232861997</v>
      </c>
      <c r="F1038" s="6">
        <v>6548728.3394657001</v>
      </c>
      <c r="G1038" s="7" t="str">
        <f>HYPERLINK("https://minkarta.lantmateriet.se/?e=366811,47232862&amp;n=6548728,3394657&amp;z=12&amp;profile=flygbildmedgranser&amp;background=2&amp;boundaries=true","Visa")</f>
        <v>Visa</v>
      </c>
      <c r="H1038" s="5" t="s">
        <v>8</v>
      </c>
      <c r="I1038" s="8">
        <v>42.967199999999998</v>
      </c>
      <c r="J1038" s="9">
        <v>48.643059999999998</v>
      </c>
      <c r="K1038" s="9">
        <v>50.21181</v>
      </c>
      <c r="L1038" s="14">
        <v>43.876579999999997</v>
      </c>
      <c r="M1038" s="9">
        <v>49.099589999999999</v>
      </c>
      <c r="N1038" s="9">
        <v>50.717309999999998</v>
      </c>
      <c r="O1038" s="14">
        <v>44.417659999999998</v>
      </c>
      <c r="P1038" s="9">
        <v>49.130670000000002</v>
      </c>
      <c r="Q1038" s="9">
        <v>50.74691</v>
      </c>
      <c r="R1038" s="23">
        <v>43.05283</v>
      </c>
      <c r="S1038" s="8">
        <v>0.54108000000000001</v>
      </c>
      <c r="T1038" s="9">
        <v>3.108E-2</v>
      </c>
      <c r="U1038" s="24">
        <v>2.9600000000000001E-2</v>
      </c>
    </row>
    <row r="1039" spans="1:21" ht="12" customHeight="1" x14ac:dyDescent="0.25">
      <c r="A1039" s="5">
        <v>2502</v>
      </c>
      <c r="B1039" s="19" t="s">
        <v>518</v>
      </c>
      <c r="C1039" s="19" t="s">
        <v>254</v>
      </c>
      <c r="D1039" s="5" t="s">
        <v>519</v>
      </c>
      <c r="E1039" s="6">
        <v>366810.71153819998</v>
      </c>
      <c r="F1039" s="6">
        <v>6548735.0828290004</v>
      </c>
      <c r="G1039" s="7" t="str">
        <f>HYPERLINK("https://minkarta.lantmateriet.se/?e=366810,7115382&amp;n=6548735,082829&amp;z=12&amp;profile=flygbildmedgranser&amp;background=2&amp;boundaries=true","Visa")</f>
        <v>Visa</v>
      </c>
      <c r="H1039" s="5" t="s">
        <v>9</v>
      </c>
      <c r="I1039" s="8">
        <v>44.314160000000001</v>
      </c>
      <c r="J1039" s="9">
        <v>54.676740000000002</v>
      </c>
      <c r="K1039" s="9">
        <v>54.676740000000002</v>
      </c>
      <c r="L1039" s="14">
        <v>45.222070000000002</v>
      </c>
      <c r="M1039" s="9">
        <v>54.676740000000002</v>
      </c>
      <c r="N1039" s="9">
        <v>54.676740000000002</v>
      </c>
      <c r="O1039" s="14">
        <v>45.402720000000002</v>
      </c>
      <c r="P1039" s="9">
        <v>54.676740000000002</v>
      </c>
      <c r="Q1039" s="9">
        <v>54.676740000000002</v>
      </c>
      <c r="R1039" s="23">
        <v>34.376359999999998</v>
      </c>
      <c r="S1039" s="8">
        <v>0.18065000000000001</v>
      </c>
      <c r="T1039" s="9">
        <v>0</v>
      </c>
      <c r="U1039" s="24">
        <v>0</v>
      </c>
    </row>
    <row r="1040" spans="1:21" ht="12" customHeight="1" x14ac:dyDescent="0.25">
      <c r="A1040" s="5">
        <v>2503</v>
      </c>
      <c r="B1040" s="19" t="s">
        <v>518</v>
      </c>
      <c r="C1040" s="19" t="s">
        <v>254</v>
      </c>
      <c r="D1040" s="5" t="s">
        <v>519</v>
      </c>
      <c r="E1040" s="6">
        <v>366804.19917441998</v>
      </c>
      <c r="F1040" s="6">
        <v>6548733.1765398998</v>
      </c>
      <c r="G1040" s="7" t="str">
        <f>HYPERLINK("https://minkarta.lantmateriet.se/?e=366804,19917442&amp;n=6548733,1765399&amp;z=12&amp;profile=flygbildmedgranser&amp;background=2&amp;boundaries=true","Visa")</f>
        <v>Visa</v>
      </c>
      <c r="H1040" s="5" t="s">
        <v>10</v>
      </c>
      <c r="I1040" s="8">
        <v>44.58211</v>
      </c>
      <c r="J1040" s="9">
        <v>49.963859999999997</v>
      </c>
      <c r="K1040" s="9">
        <v>51.532600000000002</v>
      </c>
      <c r="L1040" s="14">
        <v>45.48977</v>
      </c>
      <c r="M1040" s="9">
        <v>50.420380000000002</v>
      </c>
      <c r="N1040" s="9">
        <v>52.038110000000003</v>
      </c>
      <c r="O1040" s="14">
        <v>45.695779999999999</v>
      </c>
      <c r="P1040" s="9">
        <v>50.45147</v>
      </c>
      <c r="Q1040" s="9">
        <v>52.067709999999998</v>
      </c>
      <c r="R1040" s="23">
        <v>39.310780000000001</v>
      </c>
      <c r="S1040" s="8">
        <v>0.20601</v>
      </c>
      <c r="T1040" s="9">
        <v>3.109E-2</v>
      </c>
      <c r="U1040" s="24">
        <v>2.9600000000000001E-2</v>
      </c>
    </row>
    <row r="1041" spans="1:21" ht="12" customHeight="1" x14ac:dyDescent="0.25">
      <c r="A1041" s="5">
        <v>2504</v>
      </c>
      <c r="B1041" s="19" t="s">
        <v>518</v>
      </c>
      <c r="C1041" s="19" t="s">
        <v>254</v>
      </c>
      <c r="D1041" s="5" t="s">
        <v>519</v>
      </c>
      <c r="E1041" s="6">
        <v>366804.95996274002</v>
      </c>
      <c r="F1041" s="6">
        <v>6548726.4331756998</v>
      </c>
      <c r="G1041" s="7" t="str">
        <f>HYPERLINK("https://minkarta.lantmateriet.se/?e=366804,95996274&amp;n=6548726,4331757&amp;z=12&amp;profile=flygbildmedgranser&amp;background=2&amp;boundaries=true","Visa")</f>
        <v>Visa</v>
      </c>
      <c r="H1041" s="5" t="s">
        <v>11</v>
      </c>
      <c r="I1041" s="8">
        <v>43.96313</v>
      </c>
      <c r="J1041" s="9">
        <v>53.941279999999999</v>
      </c>
      <c r="K1041" s="9">
        <v>53.941279999999999</v>
      </c>
      <c r="L1041" s="14">
        <v>44.873550000000002</v>
      </c>
      <c r="M1041" s="9">
        <v>53.941279999999999</v>
      </c>
      <c r="N1041" s="9">
        <v>53.941279999999999</v>
      </c>
      <c r="O1041" s="14">
        <v>45.620820000000002</v>
      </c>
      <c r="P1041" s="9">
        <v>53.941279999999999</v>
      </c>
      <c r="Q1041" s="9">
        <v>53.941279999999999</v>
      </c>
      <c r="R1041" s="23">
        <v>42.017870000000002</v>
      </c>
      <c r="S1041" s="8">
        <v>0.74726999999999999</v>
      </c>
      <c r="T1041" s="9">
        <v>0</v>
      </c>
      <c r="U1041" s="24">
        <v>0</v>
      </c>
    </row>
    <row r="1042" spans="1:21" ht="12" customHeight="1" x14ac:dyDescent="0.25">
      <c r="A1042" s="5">
        <v>2505</v>
      </c>
      <c r="B1042" s="19" t="s">
        <v>520</v>
      </c>
      <c r="C1042" s="19" t="s">
        <v>254</v>
      </c>
      <c r="D1042" s="5" t="s">
        <v>521</v>
      </c>
      <c r="E1042" s="6">
        <v>366814.62648640003</v>
      </c>
      <c r="F1042" s="6">
        <v>6548719.9996600002</v>
      </c>
      <c r="G1042" s="7" t="str">
        <f>HYPERLINK("https://minkarta.lantmateriet.se/?e=366814,6264864&amp;n=6548719,99966&amp;z=12&amp;profile=flygbildmedgranser&amp;background=2&amp;boundaries=true","Visa")</f>
        <v>Visa</v>
      </c>
      <c r="H1042" s="5" t="s">
        <v>11</v>
      </c>
      <c r="I1042" s="8">
        <v>43.71</v>
      </c>
      <c r="J1042" s="9">
        <v>51.886650000000003</v>
      </c>
      <c r="K1042" s="9">
        <v>51.886650000000003</v>
      </c>
      <c r="L1042" s="14">
        <v>44.613250000000001</v>
      </c>
      <c r="M1042" s="9">
        <v>51.886650000000003</v>
      </c>
      <c r="N1042" s="9">
        <v>51.886650000000003</v>
      </c>
      <c r="O1042" s="14">
        <v>45.104219999999998</v>
      </c>
      <c r="P1042" s="9">
        <v>51.886650000000003</v>
      </c>
      <c r="Q1042" s="9">
        <v>51.886650000000003</v>
      </c>
      <c r="R1042" s="23">
        <v>39.709820000000001</v>
      </c>
      <c r="S1042" s="8">
        <v>0.49097000000000002</v>
      </c>
      <c r="T1042" s="9">
        <v>0</v>
      </c>
      <c r="U1042" s="24">
        <v>0</v>
      </c>
    </row>
    <row r="1043" spans="1:21" ht="12" customHeight="1" x14ac:dyDescent="0.25">
      <c r="A1043" s="5">
        <v>2506</v>
      </c>
      <c r="B1043" s="19" t="s">
        <v>520</v>
      </c>
      <c r="C1043" s="19" t="s">
        <v>254</v>
      </c>
      <c r="D1043" s="5" t="s">
        <v>521</v>
      </c>
      <c r="E1043" s="6">
        <v>366821.12834281003</v>
      </c>
      <c r="F1043" s="6">
        <v>6548721.9279870996</v>
      </c>
      <c r="G1043" s="7" t="str">
        <f>HYPERLINK("https://minkarta.lantmateriet.se/?e=366821,12834281&amp;n=6548721,9279871&amp;z=12&amp;profile=flygbildmedgranser&amp;background=2&amp;boundaries=true","Visa")</f>
        <v>Visa</v>
      </c>
      <c r="H1043" s="5" t="s">
        <v>8</v>
      </c>
      <c r="I1043" s="8">
        <v>43.450530000000001</v>
      </c>
      <c r="J1043" s="9">
        <v>52.922809999999998</v>
      </c>
      <c r="K1043" s="9">
        <v>52.922809999999998</v>
      </c>
      <c r="L1043" s="14">
        <v>44.360019999999999</v>
      </c>
      <c r="M1043" s="9">
        <v>52.922809999999998</v>
      </c>
      <c r="N1043" s="9">
        <v>53.02411</v>
      </c>
      <c r="O1043" s="14">
        <v>45.298310000000001</v>
      </c>
      <c r="P1043" s="9">
        <v>52.922809999999998</v>
      </c>
      <c r="Q1043" s="9">
        <v>53.392850000000003</v>
      </c>
      <c r="R1043" s="23">
        <v>43.877929999999999</v>
      </c>
      <c r="S1043" s="8">
        <v>0.93828999999999996</v>
      </c>
      <c r="T1043" s="9">
        <v>0</v>
      </c>
      <c r="U1043" s="24">
        <v>0.36874000000000001</v>
      </c>
    </row>
    <row r="1044" spans="1:21" ht="12" customHeight="1" x14ac:dyDescent="0.25">
      <c r="A1044" s="5">
        <v>2507</v>
      </c>
      <c r="B1044" s="19" t="s">
        <v>520</v>
      </c>
      <c r="C1044" s="19" t="s">
        <v>254</v>
      </c>
      <c r="D1044" s="5" t="s">
        <v>521</v>
      </c>
      <c r="E1044" s="6">
        <v>366820.3555148</v>
      </c>
      <c r="F1044" s="6">
        <v>6548728.6648444999</v>
      </c>
      <c r="G1044" s="7" t="str">
        <f>HYPERLINK("https://minkarta.lantmateriet.se/?e=366820,3555148&amp;n=6548728,6648445&amp;z=12&amp;profile=flygbildmedgranser&amp;background=2&amp;boundaries=true","Visa")</f>
        <v>Visa</v>
      </c>
      <c r="H1044" s="5" t="s">
        <v>9</v>
      </c>
      <c r="I1044" s="8">
        <v>43.827950000000001</v>
      </c>
      <c r="J1044" s="9">
        <v>52.96613</v>
      </c>
      <c r="K1044" s="9">
        <v>52.96613</v>
      </c>
      <c r="L1044" s="14">
        <v>44.737569999999998</v>
      </c>
      <c r="M1044" s="9">
        <v>52.962620000000001</v>
      </c>
      <c r="N1044" s="9">
        <v>52.962620000000001</v>
      </c>
      <c r="O1044" s="14">
        <v>44.873080000000002</v>
      </c>
      <c r="P1044" s="9">
        <v>52.96613</v>
      </c>
      <c r="Q1044" s="9">
        <v>52.96613</v>
      </c>
      <c r="R1044" s="23">
        <v>28.900680000000001</v>
      </c>
      <c r="S1044" s="8">
        <v>0.13550999999999999</v>
      </c>
      <c r="T1044" s="9">
        <v>3.5100000000000001E-3</v>
      </c>
      <c r="U1044" s="24">
        <v>3.5100000000000001E-3</v>
      </c>
    </row>
    <row r="1045" spans="1:21" ht="12" customHeight="1" x14ac:dyDescent="0.25">
      <c r="A1045" s="5">
        <v>2508</v>
      </c>
      <c r="B1045" s="19" t="s">
        <v>520</v>
      </c>
      <c r="C1045" s="19" t="s">
        <v>254</v>
      </c>
      <c r="D1045" s="5" t="s">
        <v>521</v>
      </c>
      <c r="E1045" s="6">
        <v>366813.85365949001</v>
      </c>
      <c r="F1045" s="6">
        <v>6548726.7365173995</v>
      </c>
      <c r="G1045" s="7" t="str">
        <f>HYPERLINK("https://minkarta.lantmateriet.se/?e=366813,85365949&amp;n=6548726,7365174&amp;z=12&amp;profile=flygbildmedgranser&amp;background=2&amp;boundaries=true","Visa")</f>
        <v>Visa</v>
      </c>
      <c r="H1045" s="5" t="s">
        <v>10</v>
      </c>
      <c r="I1045" s="8">
        <v>42.669609999999999</v>
      </c>
      <c r="J1045" s="9">
        <v>46.588740000000001</v>
      </c>
      <c r="K1045" s="9">
        <v>48.157490000000003</v>
      </c>
      <c r="L1045" s="14">
        <v>43.577069999999999</v>
      </c>
      <c r="M1045" s="9">
        <v>46.768210000000003</v>
      </c>
      <c r="N1045" s="9">
        <v>48.385930000000002</v>
      </c>
      <c r="O1045" s="14">
        <v>43.946129999999997</v>
      </c>
      <c r="P1045" s="9">
        <v>46.798589999999997</v>
      </c>
      <c r="Q1045" s="9">
        <v>48.414830000000002</v>
      </c>
      <c r="R1045" s="23">
        <v>39.673589999999997</v>
      </c>
      <c r="S1045" s="8">
        <v>0.36906</v>
      </c>
      <c r="T1045" s="9">
        <v>3.0380000000000001E-2</v>
      </c>
      <c r="U1045" s="24">
        <v>2.8899999999999999E-2</v>
      </c>
    </row>
    <row r="1046" spans="1:21" ht="12" customHeight="1" x14ac:dyDescent="0.25">
      <c r="A1046" s="5">
        <v>2510</v>
      </c>
      <c r="B1046" s="19" t="s">
        <v>522</v>
      </c>
      <c r="C1046" s="19" t="s">
        <v>254</v>
      </c>
      <c r="D1046" s="5" t="s">
        <v>523</v>
      </c>
      <c r="E1046" s="6">
        <v>366795.82156756998</v>
      </c>
      <c r="F1046" s="6">
        <v>6548707.7413093997</v>
      </c>
      <c r="G1046" s="7" t="str">
        <f>HYPERLINK("https://minkarta.lantmateriet.se/?e=366795,82156757&amp;n=6548707,7413094&amp;z=12&amp;profile=flygbildmedgranser&amp;background=2&amp;boundaries=true","Visa")</f>
        <v>Visa</v>
      </c>
      <c r="H1046" s="5" t="s">
        <v>9</v>
      </c>
      <c r="I1046" s="8">
        <v>43.7408</v>
      </c>
      <c r="J1046" s="9">
        <v>53.105820000000001</v>
      </c>
      <c r="K1046" s="9">
        <v>53.105820000000001</v>
      </c>
      <c r="L1046" s="14">
        <v>44.650889999999997</v>
      </c>
      <c r="M1046" s="9">
        <v>53.105820000000001</v>
      </c>
      <c r="N1046" s="9">
        <v>53.105820000000001</v>
      </c>
      <c r="O1046" s="14">
        <v>45.074309999999997</v>
      </c>
      <c r="P1046" s="9">
        <v>53.105820000000001</v>
      </c>
      <c r="Q1046" s="9">
        <v>53.105820000000001</v>
      </c>
      <c r="R1046" s="23">
        <v>41.301549999999999</v>
      </c>
      <c r="S1046" s="8">
        <v>0.42342000000000002</v>
      </c>
      <c r="T1046" s="9">
        <v>0</v>
      </c>
      <c r="U1046" s="24">
        <v>0</v>
      </c>
    </row>
    <row r="1047" spans="1:21" ht="12" customHeight="1" x14ac:dyDescent="0.25">
      <c r="A1047" s="5">
        <v>2511</v>
      </c>
      <c r="B1047" s="19" t="s">
        <v>522</v>
      </c>
      <c r="C1047" s="19" t="s">
        <v>254</v>
      </c>
      <c r="D1047" s="5" t="s">
        <v>523</v>
      </c>
      <c r="E1047" s="6">
        <v>366789.06919337</v>
      </c>
      <c r="F1047" s="6">
        <v>6548706.9955682997</v>
      </c>
      <c r="G1047" s="7" t="str">
        <f>HYPERLINK("https://minkarta.lantmateriet.se/?e=366789,06919337&amp;n=6548706,9955683&amp;z=12&amp;profile=flygbildmedgranser&amp;background=2&amp;boundaries=true","Visa")</f>
        <v>Visa</v>
      </c>
      <c r="H1047" s="5" t="s">
        <v>10</v>
      </c>
      <c r="I1047" s="8">
        <v>45.921230000000001</v>
      </c>
      <c r="J1047" s="9">
        <v>54.161529999999999</v>
      </c>
      <c r="K1047" s="9">
        <v>54.161529999999999</v>
      </c>
      <c r="L1047" s="14">
        <v>46.832839999999997</v>
      </c>
      <c r="M1047" s="9">
        <v>54.161529999999999</v>
      </c>
      <c r="N1047" s="9">
        <v>54.161529999999999</v>
      </c>
      <c r="O1047" s="14">
        <v>47.076819999999998</v>
      </c>
      <c r="P1047" s="9">
        <v>54.161529999999999</v>
      </c>
      <c r="Q1047" s="9">
        <v>54.161529999999999</v>
      </c>
      <c r="R1047" s="23">
        <v>41.876429999999999</v>
      </c>
      <c r="S1047" s="8">
        <v>0.24398</v>
      </c>
      <c r="T1047" s="9">
        <v>0</v>
      </c>
      <c r="U1047" s="24">
        <v>0</v>
      </c>
    </row>
    <row r="1048" spans="1:21" ht="12" customHeight="1" x14ac:dyDescent="0.25">
      <c r="A1048" s="5">
        <v>2512</v>
      </c>
      <c r="B1048" s="19" t="s">
        <v>522</v>
      </c>
      <c r="C1048" s="19" t="s">
        <v>254</v>
      </c>
      <c r="D1048" s="5" t="s">
        <v>523</v>
      </c>
      <c r="E1048" s="6">
        <v>366790.94793554</v>
      </c>
      <c r="F1048" s="6">
        <v>6548700.4671938</v>
      </c>
      <c r="G1048" s="7" t="str">
        <f>HYPERLINK("https://minkarta.lantmateriet.se/?e=366790,94793554&amp;n=6548700,4671938&amp;z=12&amp;profile=flygbildmedgranser&amp;background=2&amp;boundaries=true","Visa")</f>
        <v>Visa</v>
      </c>
      <c r="H1048" s="5" t="s">
        <v>11</v>
      </c>
      <c r="I1048" s="8">
        <v>44.920059999999999</v>
      </c>
      <c r="J1048" s="9">
        <v>53.192309999999999</v>
      </c>
      <c r="K1048" s="9">
        <v>53.192309999999999</v>
      </c>
      <c r="L1048" s="14">
        <v>45.834739999999996</v>
      </c>
      <c r="M1048" s="9">
        <v>53.192309999999999</v>
      </c>
      <c r="N1048" s="9">
        <v>55.064790000000002</v>
      </c>
      <c r="O1048" s="14">
        <v>47.030990000000003</v>
      </c>
      <c r="P1048" s="9">
        <v>53.192309999999999</v>
      </c>
      <c r="Q1048" s="9">
        <v>55.37829</v>
      </c>
      <c r="R1048" s="23">
        <v>44.964230000000001</v>
      </c>
      <c r="S1048" s="8">
        <v>1.19625</v>
      </c>
      <c r="T1048" s="9">
        <v>0</v>
      </c>
      <c r="U1048" s="24">
        <v>0.3135</v>
      </c>
    </row>
    <row r="1049" spans="1:21" ht="12" customHeight="1" x14ac:dyDescent="0.25">
      <c r="A1049" s="5">
        <v>2514</v>
      </c>
      <c r="B1049" s="19" t="s">
        <v>524</v>
      </c>
      <c r="C1049" s="19" t="s">
        <v>254</v>
      </c>
      <c r="D1049" s="5" t="s">
        <v>525</v>
      </c>
      <c r="E1049" s="6">
        <v>366783.13757303002</v>
      </c>
      <c r="F1049" s="6">
        <v>6548702.1753057996</v>
      </c>
      <c r="G1049" s="7" t="str">
        <f>HYPERLINK("https://minkarta.lantmateriet.se/?e=366783,13757303&amp;n=6548702,1753058&amp;z=12&amp;profile=flygbildmedgranser&amp;background=2&amp;boundaries=true","Visa")</f>
        <v>Visa</v>
      </c>
      <c r="H1049" s="5" t="s">
        <v>9</v>
      </c>
      <c r="I1049" s="8">
        <v>45.873649999999998</v>
      </c>
      <c r="J1049" s="9">
        <v>54.213250000000002</v>
      </c>
      <c r="K1049" s="9">
        <v>54.213250000000002</v>
      </c>
      <c r="L1049" s="14">
        <v>46.797960000000003</v>
      </c>
      <c r="M1049" s="9">
        <v>54.213250000000002</v>
      </c>
      <c r="N1049" s="9">
        <v>54.213250000000002</v>
      </c>
      <c r="O1049" s="14">
        <v>47.062829999999998</v>
      </c>
      <c r="P1049" s="9">
        <v>54.209870000000002</v>
      </c>
      <c r="Q1049" s="9">
        <v>54.209870000000002</v>
      </c>
      <c r="R1049" s="23">
        <v>37.320369999999997</v>
      </c>
      <c r="S1049" s="8">
        <v>0.26486999999999999</v>
      </c>
      <c r="T1049" s="9">
        <v>-3.3800000000000002E-3</v>
      </c>
      <c r="U1049" s="24">
        <v>-3.3800000000000002E-3</v>
      </c>
    </row>
    <row r="1050" spans="1:21" ht="12" customHeight="1" x14ac:dyDescent="0.25">
      <c r="A1050" s="5">
        <v>2515</v>
      </c>
      <c r="B1050" s="19" t="s">
        <v>524</v>
      </c>
      <c r="C1050" s="19" t="s">
        <v>254</v>
      </c>
      <c r="D1050" s="5" t="s">
        <v>525</v>
      </c>
      <c r="E1050" s="6">
        <v>366776.40619655</v>
      </c>
      <c r="F1050" s="6">
        <v>6548701.4175730003</v>
      </c>
      <c r="G1050" s="7" t="str">
        <f>HYPERLINK("https://minkarta.lantmateriet.se/?e=366776,40619655&amp;n=6548701,417573&amp;z=12&amp;profile=flygbildmedgranser&amp;background=2&amp;boundaries=true","Visa")</f>
        <v>Visa</v>
      </c>
      <c r="H1050" s="5" t="s">
        <v>10</v>
      </c>
      <c r="I1050" s="8">
        <v>46.764629999999997</v>
      </c>
      <c r="J1050" s="9">
        <v>58.689700000000002</v>
      </c>
      <c r="K1050" s="9">
        <v>58.689700000000002</v>
      </c>
      <c r="L1050" s="14">
        <v>47.675640000000001</v>
      </c>
      <c r="M1050" s="9">
        <v>58.689700000000002</v>
      </c>
      <c r="N1050" s="9">
        <v>58.693660000000001</v>
      </c>
      <c r="O1050" s="14">
        <v>48.061320000000002</v>
      </c>
      <c r="P1050" s="9">
        <v>58.689700000000002</v>
      </c>
      <c r="Q1050" s="9">
        <v>58.723260000000003</v>
      </c>
      <c r="R1050" s="23">
        <v>40.294840000000001</v>
      </c>
      <c r="S1050" s="8">
        <v>0.38568000000000002</v>
      </c>
      <c r="T1050" s="9">
        <v>0</v>
      </c>
      <c r="U1050" s="24">
        <v>2.9600000000000001E-2</v>
      </c>
    </row>
    <row r="1051" spans="1:21" ht="12" customHeight="1" x14ac:dyDescent="0.25">
      <c r="A1051" s="5">
        <v>2516</v>
      </c>
      <c r="B1051" s="19" t="s">
        <v>524</v>
      </c>
      <c r="C1051" s="19" t="s">
        <v>254</v>
      </c>
      <c r="D1051" s="5" t="s">
        <v>525</v>
      </c>
      <c r="E1051" s="6">
        <v>366778.25692851999</v>
      </c>
      <c r="F1051" s="6">
        <v>6548694.9006984998</v>
      </c>
      <c r="G1051" s="7" t="str">
        <f>HYPERLINK("https://minkarta.lantmateriet.se/?e=366778,25692852&amp;n=6548694,9006985&amp;z=12&amp;profile=flygbildmedgranser&amp;background=2&amp;boundaries=true","Visa")</f>
        <v>Visa</v>
      </c>
      <c r="H1051" s="5" t="s">
        <v>11</v>
      </c>
      <c r="I1051" s="8">
        <v>46.41478</v>
      </c>
      <c r="J1051" s="9">
        <v>61.120199999999997</v>
      </c>
      <c r="K1051" s="9">
        <v>61.120199999999997</v>
      </c>
      <c r="L1051" s="14">
        <v>47.299799999999998</v>
      </c>
      <c r="M1051" s="9">
        <v>61.120199999999997</v>
      </c>
      <c r="N1051" s="9">
        <v>61.120199999999997</v>
      </c>
      <c r="O1051" s="14">
        <v>48.392180000000003</v>
      </c>
      <c r="P1051" s="9">
        <v>61.120199999999997</v>
      </c>
      <c r="Q1051" s="9">
        <v>61.120199999999997</v>
      </c>
      <c r="R1051" s="23">
        <v>45.173780000000001</v>
      </c>
      <c r="S1051" s="8">
        <v>1.0923799999999999</v>
      </c>
      <c r="T1051" s="9">
        <v>0</v>
      </c>
      <c r="U1051" s="24">
        <v>0</v>
      </c>
    </row>
    <row r="1052" spans="1:21" ht="12" customHeight="1" x14ac:dyDescent="0.25">
      <c r="A1052" s="5">
        <v>2518</v>
      </c>
      <c r="B1052" s="19" t="s">
        <v>526</v>
      </c>
      <c r="C1052" s="19" t="s">
        <v>254</v>
      </c>
      <c r="D1052" s="5" t="s">
        <v>527</v>
      </c>
      <c r="E1052" s="6">
        <v>366770.40411400999</v>
      </c>
      <c r="F1052" s="6">
        <v>6548696.5647780998</v>
      </c>
      <c r="G1052" s="7" t="str">
        <f>HYPERLINK("https://minkarta.lantmateriet.se/?e=366770,40411401&amp;n=6548696,5647781&amp;z=12&amp;profile=flygbildmedgranser&amp;background=2&amp;boundaries=true","Visa")</f>
        <v>Visa</v>
      </c>
      <c r="H1052" s="5" t="s">
        <v>9</v>
      </c>
      <c r="I1052" s="8">
        <v>44.878709999999998</v>
      </c>
      <c r="J1052" s="9">
        <v>56.779249999999998</v>
      </c>
      <c r="K1052" s="9">
        <v>56.779249999999998</v>
      </c>
      <c r="L1052" s="14">
        <v>45.796480000000003</v>
      </c>
      <c r="M1052" s="9">
        <v>56.779249999999998</v>
      </c>
      <c r="N1052" s="9">
        <v>56.779249999999998</v>
      </c>
      <c r="O1052" s="14">
        <v>46.385590000000001</v>
      </c>
      <c r="P1052" s="9">
        <v>56.779249999999998</v>
      </c>
      <c r="Q1052" s="9">
        <v>56.779249999999998</v>
      </c>
      <c r="R1052" s="23">
        <v>37.851700000000001</v>
      </c>
      <c r="S1052" s="8">
        <v>0.58911000000000002</v>
      </c>
      <c r="T1052" s="9">
        <v>0</v>
      </c>
      <c r="U1052" s="24">
        <v>0</v>
      </c>
    </row>
    <row r="1053" spans="1:21" ht="12" customHeight="1" x14ac:dyDescent="0.25">
      <c r="A1053" s="5">
        <v>2519</v>
      </c>
      <c r="B1053" s="19" t="s">
        <v>526</v>
      </c>
      <c r="C1053" s="19" t="s">
        <v>254</v>
      </c>
      <c r="D1053" s="5" t="s">
        <v>527</v>
      </c>
      <c r="E1053" s="6">
        <v>366763.66572465998</v>
      </c>
      <c r="F1053" s="6">
        <v>6548695.8721147003</v>
      </c>
      <c r="G1053" s="7" t="str">
        <f>HYPERLINK("https://minkarta.lantmateriet.se/?e=366763,66572466&amp;n=6548695,8721147&amp;z=12&amp;profile=flygbildmedgranser&amp;background=2&amp;boundaries=true","Visa")</f>
        <v>Visa</v>
      </c>
      <c r="H1053" s="5" t="s">
        <v>10</v>
      </c>
      <c r="I1053" s="8">
        <v>49.389710000000001</v>
      </c>
      <c r="J1053" s="9">
        <v>63.817770000000003</v>
      </c>
      <c r="K1053" s="9">
        <v>63.817770000000003</v>
      </c>
      <c r="L1053" s="14">
        <v>50.285130000000002</v>
      </c>
      <c r="M1053" s="9">
        <v>63.817770000000003</v>
      </c>
      <c r="N1053" s="9">
        <v>63.817770000000003</v>
      </c>
      <c r="O1053" s="14">
        <v>50.541220000000003</v>
      </c>
      <c r="P1053" s="9">
        <v>63.817770000000003</v>
      </c>
      <c r="Q1053" s="9">
        <v>63.817770000000003</v>
      </c>
      <c r="R1053" s="23">
        <v>31.099720000000001</v>
      </c>
      <c r="S1053" s="8">
        <v>0.25608999999999998</v>
      </c>
      <c r="T1053" s="9">
        <v>0</v>
      </c>
      <c r="U1053" s="24">
        <v>0</v>
      </c>
    </row>
    <row r="1054" spans="1:21" ht="12" customHeight="1" x14ac:dyDescent="0.25">
      <c r="A1054" s="5">
        <v>2520</v>
      </c>
      <c r="B1054" s="19" t="s">
        <v>526</v>
      </c>
      <c r="C1054" s="19" t="s">
        <v>254</v>
      </c>
      <c r="D1054" s="5" t="s">
        <v>527</v>
      </c>
      <c r="E1054" s="6">
        <v>366765.51488733001</v>
      </c>
      <c r="F1054" s="6">
        <v>6548689.3547262996</v>
      </c>
      <c r="G1054" s="7" t="str">
        <f>HYPERLINK("https://minkarta.lantmateriet.se/?e=366765,51488733&amp;n=6548689,3547263&amp;z=12&amp;profile=flygbildmedgranser&amp;background=2&amp;boundaries=true","Visa")</f>
        <v>Visa</v>
      </c>
      <c r="H1054" s="5" t="s">
        <v>11</v>
      </c>
      <c r="I1054" s="8">
        <v>51.285899999999998</v>
      </c>
      <c r="J1054" s="9">
        <v>66.763469999999998</v>
      </c>
      <c r="K1054" s="9">
        <v>66.763469999999998</v>
      </c>
      <c r="L1054" s="14">
        <v>52.156529999999997</v>
      </c>
      <c r="M1054" s="9">
        <v>66.763469999999998</v>
      </c>
      <c r="N1054" s="9">
        <v>66.763469999999998</v>
      </c>
      <c r="O1054" s="14">
        <v>52.816920000000003</v>
      </c>
      <c r="P1054" s="9">
        <v>66.763469999999998</v>
      </c>
      <c r="Q1054" s="9">
        <v>66.763469999999998</v>
      </c>
      <c r="R1054" s="23">
        <v>46.005049999999997</v>
      </c>
      <c r="S1054" s="8">
        <v>0.66039000000000003</v>
      </c>
      <c r="T1054" s="9">
        <v>0</v>
      </c>
      <c r="U1054" s="24">
        <v>0</v>
      </c>
    </row>
    <row r="1055" spans="1:21" ht="12" customHeight="1" x14ac:dyDescent="0.25">
      <c r="A1055" s="5">
        <v>2816</v>
      </c>
      <c r="B1055" s="19" t="s">
        <v>528</v>
      </c>
      <c r="C1055" s="19" t="s">
        <v>12</v>
      </c>
      <c r="D1055" s="5" t="s">
        <v>529</v>
      </c>
      <c r="E1055" s="6">
        <v>366920.96521148999</v>
      </c>
      <c r="F1055" s="6">
        <v>6548429.3257478001</v>
      </c>
      <c r="G1055" s="7" t="str">
        <f>HYPERLINK("https://minkarta.lantmateriet.se/?e=366920,96521149&amp;n=6548429,3257478&amp;z=12&amp;profile=flygbildmedgranser&amp;background=2&amp;boundaries=true","Visa")</f>
        <v>Visa</v>
      </c>
      <c r="H1055" s="5" t="s">
        <v>15</v>
      </c>
      <c r="I1055" s="8">
        <v>41.015639999999998</v>
      </c>
      <c r="J1055" s="9">
        <v>49.566859999999998</v>
      </c>
      <c r="K1055" s="9">
        <v>51.020829999999997</v>
      </c>
      <c r="L1055" s="14">
        <v>41.969169999999998</v>
      </c>
      <c r="M1055" s="9">
        <v>50.066360000000003</v>
      </c>
      <c r="N1055" s="9">
        <v>53.537019999999998</v>
      </c>
      <c r="O1055" s="14">
        <v>42.292389999999997</v>
      </c>
      <c r="P1055" s="9">
        <v>51.051949999999998</v>
      </c>
      <c r="Q1055" s="9">
        <v>53.906529999999997</v>
      </c>
      <c r="R1055" s="23">
        <v>42.016869999999997</v>
      </c>
      <c r="S1055" s="8">
        <v>0.32322000000000001</v>
      </c>
      <c r="T1055" s="9">
        <v>0.98558999999999997</v>
      </c>
      <c r="U1055" s="24">
        <v>0.36951000000000001</v>
      </c>
    </row>
    <row r="1056" spans="1:21" ht="12" customHeight="1" x14ac:dyDescent="0.25">
      <c r="A1056" s="5">
        <v>2818</v>
      </c>
      <c r="B1056" s="19" t="s">
        <v>528</v>
      </c>
      <c r="C1056" s="19" t="s">
        <v>12</v>
      </c>
      <c r="D1056" s="5" t="s">
        <v>529</v>
      </c>
      <c r="E1056" s="6">
        <v>366924.37829015998</v>
      </c>
      <c r="F1056" s="6">
        <v>6548437.6597563</v>
      </c>
      <c r="G1056" s="7" t="str">
        <f>HYPERLINK("https://minkarta.lantmateriet.se/?e=366924,37829016&amp;n=6548437,6597563&amp;z=12&amp;profile=flygbildmedgranser&amp;background=2&amp;boundaries=true","Visa")</f>
        <v>Visa</v>
      </c>
      <c r="H1056" s="5" t="s">
        <v>14</v>
      </c>
      <c r="I1056" s="8">
        <v>45.176540000000003</v>
      </c>
      <c r="J1056" s="9">
        <v>56.123600000000003</v>
      </c>
      <c r="K1056" s="9">
        <v>57.577559999999998</v>
      </c>
      <c r="L1056" s="14">
        <v>46.153779999999998</v>
      </c>
      <c r="M1056" s="9">
        <v>56.623089999999998</v>
      </c>
      <c r="N1056" s="9">
        <v>60.09375</v>
      </c>
      <c r="O1056" s="14">
        <v>47.510809999999999</v>
      </c>
      <c r="P1056" s="9">
        <v>57.607909999999997</v>
      </c>
      <c r="Q1056" s="9">
        <v>60.462490000000003</v>
      </c>
      <c r="R1056" s="23">
        <v>50.82349</v>
      </c>
      <c r="S1056" s="8">
        <v>1.35703</v>
      </c>
      <c r="T1056" s="9">
        <v>0.98482000000000003</v>
      </c>
      <c r="U1056" s="24">
        <v>0.36874000000000001</v>
      </c>
    </row>
    <row r="1057" spans="1:21" ht="12" customHeight="1" x14ac:dyDescent="0.25">
      <c r="A1057" s="5">
        <v>2819</v>
      </c>
      <c r="B1057" s="19" t="s">
        <v>528</v>
      </c>
      <c r="C1057" s="19" t="s">
        <v>12</v>
      </c>
      <c r="D1057" s="5" t="s">
        <v>529</v>
      </c>
      <c r="E1057" s="6">
        <v>366915.98374724999</v>
      </c>
      <c r="F1057" s="6">
        <v>6548436.2312925002</v>
      </c>
      <c r="G1057" s="7" t="str">
        <f>HYPERLINK("https://minkarta.lantmateriet.se/?e=366915,98374725&amp;n=6548436,2312925&amp;z=12&amp;profile=flygbildmedgranser&amp;background=2&amp;boundaries=true","Visa")</f>
        <v>Visa</v>
      </c>
      <c r="H1057" s="5" t="s">
        <v>16</v>
      </c>
      <c r="I1057" s="8">
        <v>44.219459999999998</v>
      </c>
      <c r="J1057" s="9">
        <v>55.34037</v>
      </c>
      <c r="K1057" s="9">
        <v>56.794330000000002</v>
      </c>
      <c r="L1057" s="14">
        <v>45.200879999999998</v>
      </c>
      <c r="M1057" s="9">
        <v>55.839869999999998</v>
      </c>
      <c r="N1057" s="9">
        <v>59.310519999999997</v>
      </c>
      <c r="O1057" s="14">
        <v>46.558660000000003</v>
      </c>
      <c r="P1057" s="9">
        <v>56.824680000000001</v>
      </c>
      <c r="Q1057" s="9">
        <v>59.679259999999999</v>
      </c>
      <c r="R1057" s="23">
        <v>50.057299999999998</v>
      </c>
      <c r="S1057" s="8">
        <v>1.35778</v>
      </c>
      <c r="T1057" s="9">
        <v>0.98480999999999996</v>
      </c>
      <c r="U1057" s="24">
        <v>0.36874000000000001</v>
      </c>
    </row>
    <row r="1058" spans="1:21" ht="12" customHeight="1" x14ac:dyDescent="0.25">
      <c r="A1058" s="5">
        <v>2821</v>
      </c>
      <c r="B1058" s="19" t="s">
        <v>530</v>
      </c>
      <c r="C1058" s="19" t="s">
        <v>12</v>
      </c>
      <c r="D1058" s="5" t="s">
        <v>531</v>
      </c>
      <c r="E1058" s="6">
        <v>366952.09646818001</v>
      </c>
      <c r="F1058" s="6">
        <v>6548428.3806814002</v>
      </c>
      <c r="G1058" s="7" t="str">
        <f>HYPERLINK("https://minkarta.lantmateriet.se/?e=366952,09646818&amp;n=6548428,3806814&amp;z=12&amp;profile=flygbildmedgranser&amp;background=2&amp;boundaries=true","Visa")</f>
        <v>Visa</v>
      </c>
      <c r="H1058" s="5" t="s">
        <v>9</v>
      </c>
      <c r="I1058" s="8">
        <v>44.293349999999997</v>
      </c>
      <c r="J1058" s="9">
        <v>57.7059</v>
      </c>
      <c r="K1058" s="9">
        <v>59.159860000000002</v>
      </c>
      <c r="L1058" s="14">
        <v>45.23563</v>
      </c>
      <c r="M1058" s="9">
        <v>58.205390000000001</v>
      </c>
      <c r="N1058" s="9">
        <v>61.676049999999996</v>
      </c>
      <c r="O1058" s="14">
        <v>46.331740000000003</v>
      </c>
      <c r="P1058" s="9">
        <v>59.19021</v>
      </c>
      <c r="Q1058" s="9">
        <v>62.044789999999999</v>
      </c>
      <c r="R1058" s="23">
        <v>46.934849999999997</v>
      </c>
      <c r="S1058" s="8">
        <v>1.0961099999999999</v>
      </c>
      <c r="T1058" s="9">
        <v>0.98482000000000003</v>
      </c>
      <c r="U1058" s="24">
        <v>0.36874000000000001</v>
      </c>
    </row>
    <row r="1059" spans="1:21" ht="12" customHeight="1" x14ac:dyDescent="0.25">
      <c r="A1059" s="5">
        <v>2822</v>
      </c>
      <c r="B1059" s="19" t="s">
        <v>530</v>
      </c>
      <c r="C1059" s="19" t="s">
        <v>12</v>
      </c>
      <c r="D1059" s="5" t="s">
        <v>531</v>
      </c>
      <c r="E1059" s="6">
        <v>366943.63532206998</v>
      </c>
      <c r="F1059" s="6">
        <v>6548427.0809703004</v>
      </c>
      <c r="G1059" s="7" t="str">
        <f>HYPERLINK("https://minkarta.lantmateriet.se/?e=366943,63532207&amp;n=6548427,0809703&amp;z=12&amp;profile=flygbildmedgranser&amp;background=2&amp;boundaries=true","Visa")</f>
        <v>Visa</v>
      </c>
      <c r="H1059" s="5" t="s">
        <v>10</v>
      </c>
      <c r="I1059" s="8">
        <v>42.452280000000002</v>
      </c>
      <c r="J1059" s="9">
        <v>55.457740000000001</v>
      </c>
      <c r="K1059" s="9">
        <v>56.911700000000003</v>
      </c>
      <c r="L1059" s="14">
        <v>43.398069999999997</v>
      </c>
      <c r="M1059" s="9">
        <v>55.957230000000003</v>
      </c>
      <c r="N1059" s="9">
        <v>59.427889999999998</v>
      </c>
      <c r="O1059" s="14">
        <v>44.345930000000003</v>
      </c>
      <c r="P1059" s="9">
        <v>56.942050000000002</v>
      </c>
      <c r="Q1059" s="9">
        <v>59.79663</v>
      </c>
      <c r="R1059" s="23">
        <v>45.91628</v>
      </c>
      <c r="S1059" s="8">
        <v>0.94786000000000004</v>
      </c>
      <c r="T1059" s="9">
        <v>0.98482000000000003</v>
      </c>
      <c r="U1059" s="24">
        <v>0.36874000000000001</v>
      </c>
    </row>
    <row r="1060" spans="1:21" ht="12" customHeight="1" x14ac:dyDescent="0.25">
      <c r="A1060" s="5">
        <v>2825</v>
      </c>
      <c r="B1060" s="19" t="s">
        <v>532</v>
      </c>
      <c r="C1060" s="19" t="s">
        <v>12</v>
      </c>
      <c r="D1060" s="5" t="s">
        <v>533</v>
      </c>
      <c r="E1060" s="6">
        <v>366979.22892174998</v>
      </c>
      <c r="F1060" s="6">
        <v>6548415.7864717999</v>
      </c>
      <c r="G1060" s="7" t="str">
        <f>HYPERLINK("https://minkarta.lantmateriet.se/?e=366979,22892175&amp;n=6548415,7864718&amp;z=12&amp;profile=flygbildmedgranser&amp;background=2&amp;boundaries=true","Visa")</f>
        <v>Visa</v>
      </c>
      <c r="H1060" s="5" t="s">
        <v>9</v>
      </c>
      <c r="I1060" s="8">
        <v>44.476559999999999</v>
      </c>
      <c r="J1060" s="9">
        <v>56.872729999999997</v>
      </c>
      <c r="K1060" s="9">
        <v>58.326700000000002</v>
      </c>
      <c r="L1060" s="14">
        <v>45.436109999999999</v>
      </c>
      <c r="M1060" s="9">
        <v>57.372230000000002</v>
      </c>
      <c r="N1060" s="9">
        <v>60.842889999999997</v>
      </c>
      <c r="O1060" s="14">
        <v>46.352780000000003</v>
      </c>
      <c r="P1060" s="9">
        <v>58.357050000000001</v>
      </c>
      <c r="Q1060" s="9">
        <v>61.211620000000003</v>
      </c>
      <c r="R1060" s="23">
        <v>44.538069999999998</v>
      </c>
      <c r="S1060" s="8">
        <v>0.91666999999999998</v>
      </c>
      <c r="T1060" s="9">
        <v>0.98482000000000003</v>
      </c>
      <c r="U1060" s="24">
        <v>0.36873</v>
      </c>
    </row>
    <row r="1061" spans="1:21" ht="12" customHeight="1" x14ac:dyDescent="0.25">
      <c r="A1061" s="5">
        <v>2826</v>
      </c>
      <c r="B1061" s="19" t="s">
        <v>532</v>
      </c>
      <c r="C1061" s="19" t="s">
        <v>12</v>
      </c>
      <c r="D1061" s="5" t="s">
        <v>533</v>
      </c>
      <c r="E1061" s="6">
        <v>366970.75403115997</v>
      </c>
      <c r="F1061" s="6">
        <v>6548414.9234226001</v>
      </c>
      <c r="G1061" s="7" t="str">
        <f>HYPERLINK("https://minkarta.lantmateriet.se/?e=366970,75403116&amp;n=6548414,9234226&amp;z=12&amp;profile=flygbildmedgranser&amp;background=2&amp;boundaries=true","Visa")</f>
        <v>Visa</v>
      </c>
      <c r="H1061" s="5" t="s">
        <v>10</v>
      </c>
      <c r="I1061" s="8">
        <v>43.075690000000002</v>
      </c>
      <c r="J1061" s="9">
        <v>56.323099999999997</v>
      </c>
      <c r="K1061" s="9">
        <v>57.777070000000002</v>
      </c>
      <c r="L1061" s="14">
        <v>44.005330000000001</v>
      </c>
      <c r="M1061" s="9">
        <v>56.822600000000001</v>
      </c>
      <c r="N1061" s="9">
        <v>60.29325</v>
      </c>
      <c r="O1061" s="14">
        <v>44.643970000000003</v>
      </c>
      <c r="P1061" s="9">
        <v>57.80742</v>
      </c>
      <c r="Q1061" s="9">
        <v>60.661990000000003</v>
      </c>
      <c r="R1061" s="23">
        <v>42.330150000000003</v>
      </c>
      <c r="S1061" s="8">
        <v>0.63863999999999999</v>
      </c>
      <c r="T1061" s="9">
        <v>0.98482000000000003</v>
      </c>
      <c r="U1061" s="24">
        <v>0.36874000000000001</v>
      </c>
    </row>
    <row r="1062" spans="1:21" ht="12" customHeight="1" x14ac:dyDescent="0.25">
      <c r="A1062" s="5">
        <v>2827</v>
      </c>
      <c r="B1062" s="19" t="s">
        <v>532</v>
      </c>
      <c r="C1062" s="19" t="s">
        <v>12</v>
      </c>
      <c r="D1062" s="5" t="s">
        <v>533</v>
      </c>
      <c r="E1062" s="6">
        <v>366975.23208024999</v>
      </c>
      <c r="F1062" s="6">
        <v>6548407.6765321996</v>
      </c>
      <c r="G1062" s="7" t="str">
        <f>HYPERLINK("https://minkarta.lantmateriet.se/?e=366975,23208025&amp;n=6548407,6765322&amp;z=12&amp;profile=flygbildmedgranser&amp;background=2&amp;boundaries=true","Visa")</f>
        <v>Visa</v>
      </c>
      <c r="H1062" s="5" t="s">
        <v>11</v>
      </c>
      <c r="I1062" s="8">
        <v>41.808019999999999</v>
      </c>
      <c r="J1062" s="9">
        <v>51.497729999999997</v>
      </c>
      <c r="K1062" s="9">
        <v>52.951700000000002</v>
      </c>
      <c r="L1062" s="14">
        <v>42.73104</v>
      </c>
      <c r="M1062" s="9">
        <v>51.997230000000002</v>
      </c>
      <c r="N1062" s="9">
        <v>55.467889999999997</v>
      </c>
      <c r="O1062" s="14">
        <v>42.792999999999999</v>
      </c>
      <c r="P1062" s="9">
        <v>52.982050000000001</v>
      </c>
      <c r="Q1062" s="9">
        <v>55.836620000000003</v>
      </c>
      <c r="R1062" s="23">
        <v>41.944769999999998</v>
      </c>
      <c r="S1062" s="8">
        <v>6.1960000000000001E-2</v>
      </c>
      <c r="T1062" s="9">
        <v>0.98482000000000003</v>
      </c>
      <c r="U1062" s="24">
        <v>0.36873</v>
      </c>
    </row>
    <row r="1063" spans="1:21" ht="12" customHeight="1" x14ac:dyDescent="0.25">
      <c r="A1063" s="5">
        <v>2829</v>
      </c>
      <c r="B1063" s="19" t="s">
        <v>534</v>
      </c>
      <c r="C1063" s="19" t="s">
        <v>12</v>
      </c>
      <c r="D1063" s="5" t="s">
        <v>535</v>
      </c>
      <c r="E1063" s="6">
        <v>367005.80797899998</v>
      </c>
      <c r="F1063" s="6">
        <v>6548401.6141748996</v>
      </c>
      <c r="G1063" s="7" t="str">
        <f>HYPERLINK("https://minkarta.lantmateriet.se/?e=367005,807979&amp;n=6548401,6141749&amp;z=12&amp;profile=flygbildmedgranser&amp;background=2&amp;boundaries=true","Visa")</f>
        <v>Visa</v>
      </c>
      <c r="H1063" s="5" t="s">
        <v>9</v>
      </c>
      <c r="I1063" s="8">
        <v>44.318309999999997</v>
      </c>
      <c r="J1063" s="9">
        <v>57.092669999999998</v>
      </c>
      <c r="K1063" s="9">
        <v>58.54663</v>
      </c>
      <c r="L1063" s="14">
        <v>45.30753</v>
      </c>
      <c r="M1063" s="9">
        <v>57.59216</v>
      </c>
      <c r="N1063" s="9">
        <v>61.062820000000002</v>
      </c>
      <c r="O1063" s="14">
        <v>46.123359999999998</v>
      </c>
      <c r="P1063" s="9">
        <v>58.576979999999999</v>
      </c>
      <c r="Q1063" s="9">
        <v>61.431559999999998</v>
      </c>
      <c r="R1063" s="23">
        <v>38.410040000000002</v>
      </c>
      <c r="S1063" s="8">
        <v>0.81583000000000006</v>
      </c>
      <c r="T1063" s="9">
        <v>0.98482000000000003</v>
      </c>
      <c r="U1063" s="24">
        <v>0.36874000000000001</v>
      </c>
    </row>
    <row r="1064" spans="1:21" ht="12" customHeight="1" x14ac:dyDescent="0.25">
      <c r="A1064" s="5">
        <v>2830</v>
      </c>
      <c r="B1064" s="19" t="s">
        <v>534</v>
      </c>
      <c r="C1064" s="19" t="s">
        <v>12</v>
      </c>
      <c r="D1064" s="5" t="s">
        <v>535</v>
      </c>
      <c r="E1064" s="6">
        <v>366997.29032789002</v>
      </c>
      <c r="F1064" s="6">
        <v>6548401.3074797001</v>
      </c>
      <c r="G1064" s="7" t="str">
        <f>HYPERLINK("https://minkarta.lantmateriet.se/?e=366997,29032789&amp;n=6548401,3074797&amp;z=12&amp;profile=flygbildmedgranser&amp;background=2&amp;boundaries=true","Visa")</f>
        <v>Visa</v>
      </c>
      <c r="H1064" s="5" t="s">
        <v>10</v>
      </c>
      <c r="I1064" s="8">
        <v>43.82723</v>
      </c>
      <c r="J1064" s="9">
        <v>57.896830000000001</v>
      </c>
      <c r="K1064" s="9">
        <v>59.3508</v>
      </c>
      <c r="L1064" s="14">
        <v>44.751519999999999</v>
      </c>
      <c r="M1064" s="9">
        <v>58.396329999999999</v>
      </c>
      <c r="N1064" s="9">
        <v>61.866990000000001</v>
      </c>
      <c r="O1064" s="14">
        <v>45.292230000000004</v>
      </c>
      <c r="P1064" s="9">
        <v>59.381149999999998</v>
      </c>
      <c r="Q1064" s="9">
        <v>62.235720000000001</v>
      </c>
      <c r="R1064" s="23">
        <v>40.348320000000001</v>
      </c>
      <c r="S1064" s="8">
        <v>0.54071000000000002</v>
      </c>
      <c r="T1064" s="9">
        <v>0.98482000000000003</v>
      </c>
      <c r="U1064" s="24">
        <v>0.36873</v>
      </c>
    </row>
    <row r="1065" spans="1:21" ht="12" customHeight="1" x14ac:dyDescent="0.25">
      <c r="A1065" s="5">
        <v>2831</v>
      </c>
      <c r="B1065" s="19" t="s">
        <v>534</v>
      </c>
      <c r="C1065" s="19" t="s">
        <v>12</v>
      </c>
      <c r="D1065" s="5" t="s">
        <v>535</v>
      </c>
      <c r="E1065" s="6">
        <v>367001.32152270002</v>
      </c>
      <c r="F1065" s="6">
        <v>6548393.7978291996</v>
      </c>
      <c r="G1065" s="7" t="str">
        <f>HYPERLINK("https://minkarta.lantmateriet.se/?e=367001,3215227&amp;n=6548393,7978292&amp;z=12&amp;profile=flygbildmedgranser&amp;background=2&amp;boundaries=true","Visa")</f>
        <v>Visa</v>
      </c>
      <c r="H1065" s="5" t="s">
        <v>11</v>
      </c>
      <c r="I1065" s="8">
        <v>43.38879</v>
      </c>
      <c r="J1065" s="9">
        <v>51.700339999999997</v>
      </c>
      <c r="K1065" s="9">
        <v>53.154299999999999</v>
      </c>
      <c r="L1065" s="14">
        <v>44.317019999999999</v>
      </c>
      <c r="M1065" s="9">
        <v>52.199840000000002</v>
      </c>
      <c r="N1065" s="9">
        <v>55.670490000000001</v>
      </c>
      <c r="O1065" s="14">
        <v>44.492989999999999</v>
      </c>
      <c r="P1065" s="9">
        <v>53.1843</v>
      </c>
      <c r="Q1065" s="9">
        <v>56.038879999999999</v>
      </c>
      <c r="R1065" s="23">
        <v>44.836100000000002</v>
      </c>
      <c r="S1065" s="8">
        <v>0.17596999999999999</v>
      </c>
      <c r="T1065" s="9">
        <v>0.98446</v>
      </c>
      <c r="U1065" s="24">
        <v>0.36839</v>
      </c>
    </row>
    <row r="1066" spans="1:21" ht="12" customHeight="1" x14ac:dyDescent="0.25">
      <c r="A1066" s="5">
        <v>2833</v>
      </c>
      <c r="B1066" s="19" t="s">
        <v>536</v>
      </c>
      <c r="C1066" s="19" t="s">
        <v>12</v>
      </c>
      <c r="D1066" s="5" t="s">
        <v>537</v>
      </c>
      <c r="E1066" s="6">
        <v>367032.48489268997</v>
      </c>
      <c r="F1066" s="6">
        <v>6548385.4609239995</v>
      </c>
      <c r="G1066" s="7" t="str">
        <f>HYPERLINK("https://minkarta.lantmateriet.se/?e=367032,48489269&amp;n=6548385,460924&amp;z=12&amp;profile=flygbildmedgranser&amp;background=2&amp;boundaries=true","Visa")</f>
        <v>Visa</v>
      </c>
      <c r="H1066" s="5" t="s">
        <v>9</v>
      </c>
      <c r="I1066" s="8">
        <v>42.749400000000001</v>
      </c>
      <c r="J1066" s="9">
        <v>56.010800000000003</v>
      </c>
      <c r="K1066" s="9">
        <v>57.464770000000001</v>
      </c>
      <c r="L1066" s="14">
        <v>43.706879999999998</v>
      </c>
      <c r="M1066" s="9">
        <v>56.510300000000001</v>
      </c>
      <c r="N1066" s="9">
        <v>59.980960000000003</v>
      </c>
      <c r="O1066" s="14">
        <v>44.396850000000001</v>
      </c>
      <c r="P1066" s="9">
        <v>57.49512</v>
      </c>
      <c r="Q1066" s="9">
        <v>60.349690000000002</v>
      </c>
      <c r="R1066" s="23">
        <v>35.244239999999998</v>
      </c>
      <c r="S1066" s="8">
        <v>0.68996999999999997</v>
      </c>
      <c r="T1066" s="9">
        <v>0.98482000000000003</v>
      </c>
      <c r="U1066" s="24">
        <v>0.36873</v>
      </c>
    </row>
    <row r="1067" spans="1:21" ht="12" customHeight="1" x14ac:dyDescent="0.25">
      <c r="A1067" s="5">
        <v>2834</v>
      </c>
      <c r="B1067" s="19" t="s">
        <v>536</v>
      </c>
      <c r="C1067" s="19" t="s">
        <v>12</v>
      </c>
      <c r="D1067" s="5" t="s">
        <v>537</v>
      </c>
      <c r="E1067" s="6">
        <v>367023.92707919999</v>
      </c>
      <c r="F1067" s="6">
        <v>6548385.6018939996</v>
      </c>
      <c r="G1067" s="7" t="str">
        <f>HYPERLINK("https://minkarta.lantmateriet.se/?e=367023,9270792&amp;n=6548385,601894&amp;z=12&amp;profile=flygbildmedgranser&amp;background=2&amp;boundaries=true","Visa")</f>
        <v>Visa</v>
      </c>
      <c r="H1067" s="5" t="s">
        <v>10</v>
      </c>
      <c r="I1067" s="8">
        <v>42.176450000000003</v>
      </c>
      <c r="J1067" s="9">
        <v>54.385460000000002</v>
      </c>
      <c r="K1067" s="9">
        <v>55.83943</v>
      </c>
      <c r="L1067" s="14">
        <v>43.104340000000001</v>
      </c>
      <c r="M1067" s="9">
        <v>54.88496</v>
      </c>
      <c r="N1067" s="9">
        <v>58.355620000000002</v>
      </c>
      <c r="O1067" s="14">
        <v>43.43676</v>
      </c>
      <c r="P1067" s="9">
        <v>55.869779999999999</v>
      </c>
      <c r="Q1067" s="9">
        <v>58.724350000000001</v>
      </c>
      <c r="R1067" s="23">
        <v>37.456159999999997</v>
      </c>
      <c r="S1067" s="8">
        <v>0.33241999999999999</v>
      </c>
      <c r="T1067" s="9">
        <v>0.98482000000000003</v>
      </c>
      <c r="U1067" s="24">
        <v>0.36873</v>
      </c>
    </row>
    <row r="1068" spans="1:21" ht="12" customHeight="1" x14ac:dyDescent="0.25">
      <c r="A1068" s="5">
        <v>2836</v>
      </c>
      <c r="B1068" s="19" t="s">
        <v>538</v>
      </c>
      <c r="C1068" s="19" t="s">
        <v>12</v>
      </c>
      <c r="D1068" s="5" t="s">
        <v>539</v>
      </c>
      <c r="E1068" s="6">
        <v>367053.54911597999</v>
      </c>
      <c r="F1068" s="6">
        <v>6548361.6775757996</v>
      </c>
      <c r="G1068" s="7" t="str">
        <f>HYPERLINK("https://minkarta.lantmateriet.se/?e=367053,54911598&amp;n=6548361,6775758&amp;z=12&amp;profile=flygbildmedgranser&amp;background=2&amp;boundaries=true","Visa")</f>
        <v>Visa</v>
      </c>
      <c r="H1068" s="5" t="s">
        <v>11</v>
      </c>
      <c r="I1068" s="8">
        <v>42.508719999999997</v>
      </c>
      <c r="J1068" s="9">
        <v>44.934649999999998</v>
      </c>
      <c r="K1068" s="9">
        <v>46.388620000000003</v>
      </c>
      <c r="L1068" s="14">
        <v>43.434959999999997</v>
      </c>
      <c r="M1068" s="9">
        <v>45.434150000000002</v>
      </c>
      <c r="N1068" s="9">
        <v>48.904809999999998</v>
      </c>
      <c r="O1068" s="14">
        <v>43.505879999999998</v>
      </c>
      <c r="P1068" s="9">
        <v>47.162460000000003</v>
      </c>
      <c r="Q1068" s="9">
        <v>49.273539999999997</v>
      </c>
      <c r="R1068" s="23">
        <v>42.32931</v>
      </c>
      <c r="S1068" s="8">
        <v>7.0919999999999997E-2</v>
      </c>
      <c r="T1068" s="9">
        <v>1.72831</v>
      </c>
      <c r="U1068" s="24">
        <v>0.36873</v>
      </c>
    </row>
    <row r="1069" spans="1:21" ht="12" customHeight="1" x14ac:dyDescent="0.25">
      <c r="A1069" s="5">
        <v>2837</v>
      </c>
      <c r="B1069" s="19" t="s">
        <v>538</v>
      </c>
      <c r="C1069" s="19" t="s">
        <v>12</v>
      </c>
      <c r="D1069" s="5" t="s">
        <v>539</v>
      </c>
      <c r="E1069" s="6">
        <v>367062.07992731</v>
      </c>
      <c r="F1069" s="6">
        <v>6548361.5346170999</v>
      </c>
      <c r="G1069" s="7" t="str">
        <f>HYPERLINK("https://minkarta.lantmateriet.se/?e=367062,07992731&amp;n=6548361,5346171&amp;z=12&amp;profile=flygbildmedgranser&amp;background=2&amp;boundaries=true","Visa")</f>
        <v>Visa</v>
      </c>
      <c r="H1069" s="5" t="s">
        <v>8</v>
      </c>
      <c r="I1069" s="8">
        <v>42.767919999999997</v>
      </c>
      <c r="J1069" s="9">
        <v>54.391060000000003</v>
      </c>
      <c r="K1069" s="9">
        <v>55.845019999999998</v>
      </c>
      <c r="L1069" s="14">
        <v>43.719050000000003</v>
      </c>
      <c r="M1069" s="9">
        <v>54.890549999999998</v>
      </c>
      <c r="N1069" s="9">
        <v>58.36121</v>
      </c>
      <c r="O1069" s="14">
        <v>44.111469999999997</v>
      </c>
      <c r="P1069" s="9">
        <v>55.875369999999997</v>
      </c>
      <c r="Q1069" s="9">
        <v>58.729950000000002</v>
      </c>
      <c r="R1069" s="23">
        <v>25.240960000000001</v>
      </c>
      <c r="S1069" s="8">
        <v>0.39241999999999999</v>
      </c>
      <c r="T1069" s="9">
        <v>0.98482000000000003</v>
      </c>
      <c r="U1069" s="24">
        <v>0.36874000000000001</v>
      </c>
    </row>
    <row r="1070" spans="1:21" ht="12" customHeight="1" x14ac:dyDescent="0.25">
      <c r="A1070" s="5">
        <v>2838</v>
      </c>
      <c r="B1070" s="19" t="s">
        <v>538</v>
      </c>
      <c r="C1070" s="19" t="s">
        <v>12</v>
      </c>
      <c r="D1070" s="5" t="s">
        <v>539</v>
      </c>
      <c r="E1070" s="6">
        <v>367058.36688553001</v>
      </c>
      <c r="F1070" s="6">
        <v>6548369.2159286002</v>
      </c>
      <c r="G1070" s="7" t="str">
        <f>HYPERLINK("https://minkarta.lantmateriet.se/?e=367058,36688553&amp;n=6548369,2159286&amp;z=12&amp;profile=flygbildmedgranser&amp;background=2&amp;boundaries=true","Visa")</f>
        <v>Visa</v>
      </c>
      <c r="H1070" s="5" t="s">
        <v>9</v>
      </c>
      <c r="I1070" s="8">
        <v>42.360579999999999</v>
      </c>
      <c r="J1070" s="9">
        <v>53.836480000000002</v>
      </c>
      <c r="K1070" s="9">
        <v>55.29045</v>
      </c>
      <c r="L1070" s="14">
        <v>43.339210000000001</v>
      </c>
      <c r="M1070" s="9">
        <v>54.335979999999999</v>
      </c>
      <c r="N1070" s="9">
        <v>57.806640000000002</v>
      </c>
      <c r="O1070" s="14">
        <v>44.052729999999997</v>
      </c>
      <c r="P1070" s="9">
        <v>55.320799999999998</v>
      </c>
      <c r="Q1070" s="9">
        <v>58.175370000000001</v>
      </c>
      <c r="R1070" s="23">
        <v>34.335160000000002</v>
      </c>
      <c r="S1070" s="8">
        <v>0.71352000000000004</v>
      </c>
      <c r="T1070" s="9">
        <v>0.98482000000000003</v>
      </c>
      <c r="U1070" s="24">
        <v>0.36873</v>
      </c>
    </row>
    <row r="1071" spans="1:21" ht="12" customHeight="1" x14ac:dyDescent="0.25">
      <c r="A1071" s="5">
        <v>2839</v>
      </c>
      <c r="B1071" s="19" t="s">
        <v>538</v>
      </c>
      <c r="C1071" s="19" t="s">
        <v>12</v>
      </c>
      <c r="D1071" s="5" t="s">
        <v>539</v>
      </c>
      <c r="E1071" s="6">
        <v>367049.83607501001</v>
      </c>
      <c r="F1071" s="6">
        <v>6548369.3588873995</v>
      </c>
      <c r="G1071" s="7" t="str">
        <f>HYPERLINK("https://minkarta.lantmateriet.se/?e=367049,83607501&amp;n=6548369,3588874&amp;z=12&amp;profile=flygbildmedgranser&amp;background=2&amp;boundaries=true","Visa")</f>
        <v>Visa</v>
      </c>
      <c r="H1071" s="5" t="s">
        <v>10</v>
      </c>
      <c r="I1071" s="8">
        <v>41.679220000000001</v>
      </c>
      <c r="J1071" s="9">
        <v>52.596260000000001</v>
      </c>
      <c r="K1071" s="9">
        <v>54.050220000000003</v>
      </c>
      <c r="L1071" s="14">
        <v>42.621789999999997</v>
      </c>
      <c r="M1071" s="9">
        <v>53.095759999999999</v>
      </c>
      <c r="N1071" s="9">
        <v>56.566409999999998</v>
      </c>
      <c r="O1071" s="14">
        <v>42.884399999999999</v>
      </c>
      <c r="P1071" s="9">
        <v>54.080570000000002</v>
      </c>
      <c r="Q1071" s="9">
        <v>56.93515</v>
      </c>
      <c r="R1071" s="23">
        <v>37.33276</v>
      </c>
      <c r="S1071" s="8">
        <v>0.26261000000000001</v>
      </c>
      <c r="T1071" s="9">
        <v>0.98480999999999996</v>
      </c>
      <c r="U1071" s="24">
        <v>0.36874000000000001</v>
      </c>
    </row>
    <row r="1072" spans="1:21" ht="12" customHeight="1" x14ac:dyDescent="0.25">
      <c r="A1072" s="5">
        <v>2840</v>
      </c>
      <c r="B1072" s="19" t="s">
        <v>540</v>
      </c>
      <c r="C1072" s="19" t="s">
        <v>12</v>
      </c>
      <c r="D1072" s="5" t="s">
        <v>541</v>
      </c>
      <c r="E1072" s="6">
        <v>367082.73978886002</v>
      </c>
      <c r="F1072" s="6">
        <v>6548339.6117297998</v>
      </c>
      <c r="G1072" s="7" t="str">
        <f>HYPERLINK("https://minkarta.lantmateriet.se/?e=367082,73978886&amp;n=6548339,6117298&amp;z=12&amp;profile=flygbildmedgranser&amp;background=2&amp;boundaries=true","Visa")</f>
        <v>Visa</v>
      </c>
      <c r="H1072" s="5" t="s">
        <v>8</v>
      </c>
      <c r="I1072" s="8">
        <v>39.93047</v>
      </c>
      <c r="J1072" s="9">
        <v>51.58605</v>
      </c>
      <c r="K1072" s="9">
        <v>53.040010000000002</v>
      </c>
      <c r="L1072" s="14">
        <v>40.886200000000002</v>
      </c>
      <c r="M1072" s="9">
        <v>52.085540000000002</v>
      </c>
      <c r="N1072" s="9">
        <v>55.556199999999997</v>
      </c>
      <c r="O1072" s="14">
        <v>41.382640000000002</v>
      </c>
      <c r="P1072" s="9">
        <v>53.070360000000001</v>
      </c>
      <c r="Q1072" s="9">
        <v>55.924939999999999</v>
      </c>
      <c r="R1072" s="23">
        <v>24.844449999999998</v>
      </c>
      <c r="S1072" s="8">
        <v>0.49643999999999999</v>
      </c>
      <c r="T1072" s="9">
        <v>0.98482000000000003</v>
      </c>
      <c r="U1072" s="24">
        <v>0.36874000000000001</v>
      </c>
    </row>
    <row r="1073" spans="1:21" ht="12" customHeight="1" x14ac:dyDescent="0.25">
      <c r="A1073" s="5">
        <v>2841</v>
      </c>
      <c r="B1073" s="19" t="s">
        <v>540</v>
      </c>
      <c r="C1073" s="19" t="s">
        <v>12</v>
      </c>
      <c r="D1073" s="5" t="s">
        <v>541</v>
      </c>
      <c r="E1073" s="6">
        <v>367082.22727351001</v>
      </c>
      <c r="F1073" s="6">
        <v>6548348.1377897002</v>
      </c>
      <c r="G1073" s="7" t="str">
        <f>HYPERLINK("https://minkarta.lantmateriet.se/?e=367082,22727351&amp;n=6548348,1377897&amp;z=12&amp;profile=flygbildmedgranser&amp;background=2&amp;boundaries=true","Visa")</f>
        <v>Visa</v>
      </c>
      <c r="H1073" s="5" t="s">
        <v>9</v>
      </c>
      <c r="I1073" s="8">
        <v>41.363819999999997</v>
      </c>
      <c r="J1073" s="9">
        <v>51.6571</v>
      </c>
      <c r="K1073" s="9">
        <v>53.111060000000002</v>
      </c>
      <c r="L1073" s="14">
        <v>42.325009999999999</v>
      </c>
      <c r="M1073" s="9">
        <v>52.156590000000001</v>
      </c>
      <c r="N1073" s="9">
        <v>55.627249999999997</v>
      </c>
      <c r="O1073" s="14">
        <v>42.854039999999998</v>
      </c>
      <c r="P1073" s="9">
        <v>53.14141</v>
      </c>
      <c r="Q1073" s="9">
        <v>55.995989999999999</v>
      </c>
      <c r="R1073" s="23">
        <v>35.63655</v>
      </c>
      <c r="S1073" s="8">
        <v>0.52903</v>
      </c>
      <c r="T1073" s="9">
        <v>0.98482000000000003</v>
      </c>
      <c r="U1073" s="24">
        <v>0.36874000000000001</v>
      </c>
    </row>
    <row r="1074" spans="1:21" ht="12" customHeight="1" x14ac:dyDescent="0.25">
      <c r="A1074" s="5">
        <v>2842</v>
      </c>
      <c r="B1074" s="19" t="s">
        <v>540</v>
      </c>
      <c r="C1074" s="19" t="s">
        <v>12</v>
      </c>
      <c r="D1074" s="5" t="s">
        <v>541</v>
      </c>
      <c r="E1074" s="6">
        <v>367074.79721314</v>
      </c>
      <c r="F1074" s="6">
        <v>6548343.9252741998</v>
      </c>
      <c r="G1074" s="7" t="str">
        <f>HYPERLINK("https://minkarta.lantmateriet.se/?e=367074,79721314&amp;n=6548343,9252742&amp;z=12&amp;profile=flygbildmedgranser&amp;background=2&amp;boundaries=true","Visa")</f>
        <v>Visa</v>
      </c>
      <c r="H1074" s="5" t="s">
        <v>10</v>
      </c>
      <c r="I1074" s="8">
        <v>40.347389999999997</v>
      </c>
      <c r="J1074" s="9">
        <v>48.694029999999998</v>
      </c>
      <c r="K1074" s="9">
        <v>50.14799</v>
      </c>
      <c r="L1074" s="14">
        <v>41.28331</v>
      </c>
      <c r="M1074" s="9">
        <v>49.193530000000003</v>
      </c>
      <c r="N1074" s="9">
        <v>52.664189999999998</v>
      </c>
      <c r="O1074" s="14">
        <v>41.605780000000003</v>
      </c>
      <c r="P1074" s="9">
        <v>50.178350000000002</v>
      </c>
      <c r="Q1074" s="9">
        <v>53.032919999999997</v>
      </c>
      <c r="R1074" s="23">
        <v>41.017299999999999</v>
      </c>
      <c r="S1074" s="8">
        <v>0.32246999999999998</v>
      </c>
      <c r="T1074" s="9">
        <v>0.98482000000000003</v>
      </c>
      <c r="U1074" s="24">
        <v>0.36873</v>
      </c>
    </row>
    <row r="1075" spans="1:21" ht="12" customHeight="1" x14ac:dyDescent="0.25">
      <c r="A1075" s="5">
        <v>2843</v>
      </c>
      <c r="B1075" s="19" t="s">
        <v>540</v>
      </c>
      <c r="C1075" s="19" t="s">
        <v>12</v>
      </c>
      <c r="D1075" s="5" t="s">
        <v>541</v>
      </c>
      <c r="E1075" s="6">
        <v>367075.30972849001</v>
      </c>
      <c r="F1075" s="6">
        <v>6548335.3992143003</v>
      </c>
      <c r="G1075" s="7" t="str">
        <f>HYPERLINK("https://minkarta.lantmateriet.se/?e=367075,30972849&amp;n=6548335,3992143&amp;z=12&amp;profile=flygbildmedgranser&amp;background=2&amp;boundaries=true","Visa")</f>
        <v>Visa</v>
      </c>
      <c r="H1075" s="5" t="s">
        <v>11</v>
      </c>
      <c r="I1075" s="8">
        <v>39.458739999999999</v>
      </c>
      <c r="J1075" s="9">
        <v>45.051839999999999</v>
      </c>
      <c r="K1075" s="9">
        <v>46.505800000000001</v>
      </c>
      <c r="L1075" s="14">
        <v>40.407310000000003</v>
      </c>
      <c r="M1075" s="9">
        <v>45.55133</v>
      </c>
      <c r="N1075" s="9">
        <v>49.021990000000002</v>
      </c>
      <c r="O1075" s="14">
        <v>40.030859999999997</v>
      </c>
      <c r="P1075" s="9">
        <v>46.536149999999999</v>
      </c>
      <c r="Q1075" s="9">
        <v>49.390729999999998</v>
      </c>
      <c r="R1075" s="23">
        <v>25.0961</v>
      </c>
      <c r="S1075" s="8">
        <v>-0.37645000000000001</v>
      </c>
      <c r="T1075" s="9">
        <v>0.98482000000000003</v>
      </c>
      <c r="U1075" s="24">
        <v>0.36874000000000001</v>
      </c>
    </row>
    <row r="1076" spans="1:21" ht="12" customHeight="1" x14ac:dyDescent="0.25">
      <c r="A1076" s="5">
        <v>2844</v>
      </c>
      <c r="B1076" s="19" t="s">
        <v>542</v>
      </c>
      <c r="C1076" s="19" t="s">
        <v>12</v>
      </c>
      <c r="D1076" s="5" t="s">
        <v>543</v>
      </c>
      <c r="E1076" s="6">
        <v>367071.28196734999</v>
      </c>
      <c r="F1076" s="6">
        <v>6548310.9751803</v>
      </c>
      <c r="G1076" s="7" t="str">
        <f>HYPERLINK("https://minkarta.lantmateriet.se/?e=367071,28196735&amp;n=6548310,9751803&amp;z=12&amp;profile=flygbildmedgranser&amp;background=2&amp;boundaries=true","Visa")</f>
        <v>Visa</v>
      </c>
      <c r="H1076" s="5" t="s">
        <v>8</v>
      </c>
      <c r="I1076" s="8">
        <v>40.071280000000002</v>
      </c>
      <c r="J1076" s="9">
        <v>46.83549</v>
      </c>
      <c r="K1076" s="9">
        <v>48.364069999999998</v>
      </c>
      <c r="L1076" s="14">
        <v>41.02675</v>
      </c>
      <c r="M1076" s="9">
        <v>47.264600000000002</v>
      </c>
      <c r="N1076" s="9">
        <v>50.517760000000003</v>
      </c>
      <c r="O1076" s="14">
        <v>41.24709</v>
      </c>
      <c r="P1076" s="9">
        <v>48.03192</v>
      </c>
      <c r="Q1076" s="9">
        <v>50.886490000000002</v>
      </c>
      <c r="R1076" s="23">
        <v>25.36496</v>
      </c>
      <c r="S1076" s="8">
        <v>0.22034000000000001</v>
      </c>
      <c r="T1076" s="9">
        <v>0.76732</v>
      </c>
      <c r="U1076" s="24">
        <v>0.36873</v>
      </c>
    </row>
    <row r="1077" spans="1:21" ht="12" customHeight="1" x14ac:dyDescent="0.25">
      <c r="A1077" s="5">
        <v>2845</v>
      </c>
      <c r="B1077" s="19" t="s">
        <v>542</v>
      </c>
      <c r="C1077" s="19" t="s">
        <v>12</v>
      </c>
      <c r="D1077" s="5" t="s">
        <v>543</v>
      </c>
      <c r="E1077" s="6">
        <v>367069.24232254998</v>
      </c>
      <c r="F1077" s="6">
        <v>6548317.2194685005</v>
      </c>
      <c r="G1077" s="7" t="str">
        <f>HYPERLINK("https://minkarta.lantmateriet.se/?e=367069,24232255&amp;n=6548317,2194685&amp;z=12&amp;profile=flygbildmedgranser&amp;background=2&amp;boundaries=true","Visa")</f>
        <v>Visa</v>
      </c>
      <c r="H1077" s="5" t="s">
        <v>9</v>
      </c>
      <c r="I1077" s="8">
        <v>37.629150000000003</v>
      </c>
      <c r="J1077" s="9">
        <v>46.853029999999997</v>
      </c>
      <c r="K1077" s="9">
        <v>48.306989999999999</v>
      </c>
      <c r="L1077" s="14">
        <v>38.569290000000002</v>
      </c>
      <c r="M1077" s="9">
        <v>47.352519999999998</v>
      </c>
      <c r="N1077" s="9">
        <v>50.823180000000001</v>
      </c>
      <c r="O1077" s="14">
        <v>39.085320000000003</v>
      </c>
      <c r="P1077" s="9">
        <v>48.337350000000001</v>
      </c>
      <c r="Q1077" s="9">
        <v>51.191920000000003</v>
      </c>
      <c r="R1077" s="23">
        <v>31.539429999999999</v>
      </c>
      <c r="S1077" s="8">
        <v>0.51602999999999999</v>
      </c>
      <c r="T1077" s="9">
        <v>0.98482999999999998</v>
      </c>
      <c r="U1077" s="24">
        <v>0.36874000000000001</v>
      </c>
    </row>
    <row r="1078" spans="1:21" ht="12" customHeight="1" x14ac:dyDescent="0.25">
      <c r="A1078" s="5">
        <v>2847</v>
      </c>
      <c r="B1078" s="19" t="s">
        <v>542</v>
      </c>
      <c r="C1078" s="19" t="s">
        <v>12</v>
      </c>
      <c r="D1078" s="5" t="s">
        <v>543</v>
      </c>
      <c r="E1078" s="6">
        <v>367064.77067873999</v>
      </c>
      <c r="F1078" s="6">
        <v>6548310.106036</v>
      </c>
      <c r="G1078" s="7" t="str">
        <f>HYPERLINK("https://minkarta.lantmateriet.se/?e=367064,77067874&amp;n=6548310,106036&amp;z=12&amp;profile=flygbildmedgranser&amp;background=2&amp;boundaries=true","Visa")</f>
        <v>Visa</v>
      </c>
      <c r="H1078" s="5" t="s">
        <v>11</v>
      </c>
      <c r="I1078" s="8">
        <v>37.619010000000003</v>
      </c>
      <c r="J1078" s="9">
        <v>39.571629999999999</v>
      </c>
      <c r="K1078" s="9">
        <v>41.100209999999997</v>
      </c>
      <c r="L1078" s="14">
        <v>38.546639999999996</v>
      </c>
      <c r="M1078" s="9">
        <v>40.00074</v>
      </c>
      <c r="N1078" s="9">
        <v>41.61871</v>
      </c>
      <c r="O1078" s="14">
        <v>38.470849999999999</v>
      </c>
      <c r="P1078" s="9">
        <v>45.290100000000002</v>
      </c>
      <c r="Q1078" s="9">
        <v>45.290100000000002</v>
      </c>
      <c r="R1078" s="23">
        <v>39.445799999999998</v>
      </c>
      <c r="S1078" s="8">
        <v>-7.5789999999999996E-2</v>
      </c>
      <c r="T1078" s="9">
        <v>5.2893600000000003</v>
      </c>
      <c r="U1078" s="24">
        <v>3.6713900000000002</v>
      </c>
    </row>
    <row r="1079" spans="1:21" ht="12" customHeight="1" x14ac:dyDescent="0.25">
      <c r="A1079" s="5">
        <v>2848</v>
      </c>
      <c r="B1079" s="19" t="s">
        <v>544</v>
      </c>
      <c r="C1079" s="19" t="s">
        <v>12</v>
      </c>
      <c r="D1079" s="5" t="s">
        <v>545</v>
      </c>
      <c r="E1079" s="6">
        <v>367030.06322190998</v>
      </c>
      <c r="F1079" s="6">
        <v>6548335.4757179003</v>
      </c>
      <c r="G1079" s="7" t="str">
        <f>HYPERLINK("https://minkarta.lantmateriet.se/?e=367030,06322191&amp;n=6548335,4757179&amp;z=12&amp;profile=flygbildmedgranser&amp;background=2&amp;boundaries=true","Visa")</f>
        <v>Visa</v>
      </c>
      <c r="H1079" s="5" t="s">
        <v>11</v>
      </c>
      <c r="I1079" s="8">
        <v>41.841740000000001</v>
      </c>
      <c r="J1079" s="9">
        <v>47.577480000000001</v>
      </c>
      <c r="K1079" s="9">
        <v>49.106059999999999</v>
      </c>
      <c r="L1079" s="14">
        <v>42.762349999999998</v>
      </c>
      <c r="M1079" s="9">
        <v>48.006590000000003</v>
      </c>
      <c r="N1079" s="9">
        <v>49.624560000000002</v>
      </c>
      <c r="O1079" s="14">
        <v>42.717300000000002</v>
      </c>
      <c r="P1079" s="9">
        <v>48.035040000000002</v>
      </c>
      <c r="Q1079" s="9">
        <v>49.653880000000001</v>
      </c>
      <c r="R1079" s="23">
        <v>36.21293</v>
      </c>
      <c r="S1079" s="8">
        <v>-4.505E-2</v>
      </c>
      <c r="T1079" s="9">
        <v>2.845E-2</v>
      </c>
      <c r="U1079" s="24">
        <v>2.9319999999999999E-2</v>
      </c>
    </row>
    <row r="1080" spans="1:21" ht="12" customHeight="1" x14ac:dyDescent="0.25">
      <c r="A1080" s="5">
        <v>2849</v>
      </c>
      <c r="B1080" s="19" t="s">
        <v>544</v>
      </c>
      <c r="C1080" s="19" t="s">
        <v>12</v>
      </c>
      <c r="D1080" s="5" t="s">
        <v>545</v>
      </c>
      <c r="E1080" s="6">
        <v>367037.49578494998</v>
      </c>
      <c r="F1080" s="6">
        <v>6548339.7087225998</v>
      </c>
      <c r="G1080" s="7" t="str">
        <f>HYPERLINK("https://minkarta.lantmateriet.se/?e=367037,49578495&amp;n=6548339,7087226&amp;z=12&amp;profile=flygbildmedgranser&amp;background=2&amp;boundaries=true","Visa")</f>
        <v>Visa</v>
      </c>
      <c r="H1080" s="5" t="s">
        <v>8</v>
      </c>
      <c r="I1080" s="8">
        <v>40.858179999999997</v>
      </c>
      <c r="J1080" s="9">
        <v>42.997610000000002</v>
      </c>
      <c r="K1080" s="9">
        <v>44.451569999999997</v>
      </c>
      <c r="L1080" s="14">
        <v>41.790230000000001</v>
      </c>
      <c r="M1080" s="9">
        <v>43.497100000000003</v>
      </c>
      <c r="N1080" s="9">
        <v>46.967759999999998</v>
      </c>
      <c r="O1080" s="14">
        <v>41.797809999999998</v>
      </c>
      <c r="P1080" s="9">
        <v>44.481920000000002</v>
      </c>
      <c r="Q1080" s="9">
        <v>47.336500000000001</v>
      </c>
      <c r="R1080" s="23">
        <v>24.664539999999999</v>
      </c>
      <c r="S1080" s="8">
        <v>7.5799999999999999E-3</v>
      </c>
      <c r="T1080" s="9">
        <v>0.98482000000000003</v>
      </c>
      <c r="U1080" s="24">
        <v>0.36874000000000001</v>
      </c>
    </row>
    <row r="1081" spans="1:21" ht="12" customHeight="1" x14ac:dyDescent="0.25">
      <c r="A1081" s="5">
        <v>2850</v>
      </c>
      <c r="B1081" s="19" t="s">
        <v>544</v>
      </c>
      <c r="C1081" s="19" t="s">
        <v>12</v>
      </c>
      <c r="D1081" s="5" t="s">
        <v>545</v>
      </c>
      <c r="E1081" s="6">
        <v>367037.01228048</v>
      </c>
      <c r="F1081" s="6">
        <v>6548348.2487859</v>
      </c>
      <c r="G1081" s="7" t="str">
        <f>HYPERLINK("https://minkarta.lantmateriet.se/?e=367037,01228048&amp;n=6548348,2487859&amp;z=12&amp;profile=flygbildmedgranser&amp;background=2&amp;boundaries=true","Visa")</f>
        <v>Visa</v>
      </c>
      <c r="H1081" s="5" t="s">
        <v>9</v>
      </c>
      <c r="I1081" s="8">
        <v>40.064570000000003</v>
      </c>
      <c r="J1081" s="9">
        <v>47.48695</v>
      </c>
      <c r="K1081" s="9">
        <v>48.940910000000002</v>
      </c>
      <c r="L1081" s="14">
        <v>41.004199999999997</v>
      </c>
      <c r="M1081" s="9">
        <v>47.986449999999998</v>
      </c>
      <c r="N1081" s="9">
        <v>51.457099999999997</v>
      </c>
      <c r="O1081" s="14">
        <v>41.605539999999998</v>
      </c>
      <c r="P1081" s="9">
        <v>48.971260000000001</v>
      </c>
      <c r="Q1081" s="9">
        <v>51.825839999999999</v>
      </c>
      <c r="R1081" s="23">
        <v>42.287039999999998</v>
      </c>
      <c r="S1081" s="8">
        <v>0.60133999999999999</v>
      </c>
      <c r="T1081" s="9">
        <v>0.98480999999999996</v>
      </c>
      <c r="U1081" s="24">
        <v>0.36874000000000001</v>
      </c>
    </row>
    <row r="1082" spans="1:21" ht="12" customHeight="1" x14ac:dyDescent="0.25">
      <c r="A1082" s="5">
        <v>2851</v>
      </c>
      <c r="B1082" s="19" t="s">
        <v>544</v>
      </c>
      <c r="C1082" s="19" t="s">
        <v>12</v>
      </c>
      <c r="D1082" s="5" t="s">
        <v>545</v>
      </c>
      <c r="E1082" s="6">
        <v>367029.57971660001</v>
      </c>
      <c r="F1082" s="6">
        <v>6548344.0157805001</v>
      </c>
      <c r="G1082" s="7" t="str">
        <f>HYPERLINK("https://minkarta.lantmateriet.se/?e=367029,5797166&amp;n=6548344,0157805&amp;z=12&amp;profile=flygbildmedgranser&amp;background=2&amp;boundaries=true","Visa")</f>
        <v>Visa</v>
      </c>
      <c r="H1082" s="5" t="s">
        <v>10</v>
      </c>
      <c r="I1082" s="8">
        <v>41.908369999999998</v>
      </c>
      <c r="J1082" s="9">
        <v>49.928260000000002</v>
      </c>
      <c r="K1082" s="9">
        <v>51.45684</v>
      </c>
      <c r="L1082" s="14">
        <v>42.833579999999998</v>
      </c>
      <c r="M1082" s="9">
        <v>50.357370000000003</v>
      </c>
      <c r="N1082" s="9">
        <v>51.975340000000003</v>
      </c>
      <c r="O1082" s="14">
        <v>42.888550000000002</v>
      </c>
      <c r="P1082" s="9">
        <v>50.385820000000002</v>
      </c>
      <c r="Q1082" s="9">
        <v>52.004660000000001</v>
      </c>
      <c r="R1082" s="23">
        <v>34.386809999999997</v>
      </c>
      <c r="S1082" s="8">
        <v>5.4969999999999998E-2</v>
      </c>
      <c r="T1082" s="9">
        <v>2.845E-2</v>
      </c>
      <c r="U1082" s="24">
        <v>2.9319999999999999E-2</v>
      </c>
    </row>
    <row r="1083" spans="1:21" ht="12" customHeight="1" x14ac:dyDescent="0.25">
      <c r="A1083" s="5">
        <v>2852</v>
      </c>
      <c r="B1083" s="19" t="s">
        <v>546</v>
      </c>
      <c r="C1083" s="19" t="s">
        <v>12</v>
      </c>
      <c r="D1083" s="5" t="s">
        <v>547</v>
      </c>
      <c r="E1083" s="6">
        <v>367018.71127782</v>
      </c>
      <c r="F1083" s="6">
        <v>6548349.8317096001</v>
      </c>
      <c r="G1083" s="7" t="str">
        <f>HYPERLINK("https://minkarta.lantmateriet.se/?e=367018,71127782&amp;n=6548349,8317096&amp;z=12&amp;profile=flygbildmedgranser&amp;background=2&amp;boundaries=true","Visa")</f>
        <v>Visa</v>
      </c>
      <c r="H1083" s="5" t="s">
        <v>8</v>
      </c>
      <c r="I1083" s="8">
        <v>41.633859999999999</v>
      </c>
      <c r="J1083" s="9">
        <v>45.84639</v>
      </c>
      <c r="K1083" s="9">
        <v>47.374969999999998</v>
      </c>
      <c r="L1083" s="14">
        <v>42.569459999999999</v>
      </c>
      <c r="M1083" s="9">
        <v>46.275489999999998</v>
      </c>
      <c r="N1083" s="9">
        <v>49.216679999999997</v>
      </c>
      <c r="O1083" s="14">
        <v>42.581629999999997</v>
      </c>
      <c r="P1083" s="9">
        <v>46.730840000000001</v>
      </c>
      <c r="Q1083" s="9">
        <v>49.585410000000003</v>
      </c>
      <c r="R1083" s="23">
        <v>35.49783</v>
      </c>
      <c r="S1083" s="8">
        <v>1.217E-2</v>
      </c>
      <c r="T1083" s="9">
        <v>0.45534999999999998</v>
      </c>
      <c r="U1083" s="24">
        <v>0.36873</v>
      </c>
    </row>
    <row r="1084" spans="1:21" ht="12" customHeight="1" x14ac:dyDescent="0.25">
      <c r="A1084" s="5">
        <v>2853</v>
      </c>
      <c r="B1084" s="19" t="s">
        <v>546</v>
      </c>
      <c r="C1084" s="19" t="s">
        <v>12</v>
      </c>
      <c r="D1084" s="5" t="s">
        <v>547</v>
      </c>
      <c r="E1084" s="6">
        <v>367018.20729200001</v>
      </c>
      <c r="F1084" s="6">
        <v>6548358.3587795999</v>
      </c>
      <c r="G1084" s="7" t="str">
        <f>HYPERLINK("https://minkarta.lantmateriet.se/?e=367018,207292&amp;n=6548358,3587796&amp;z=12&amp;profile=flygbildmedgranser&amp;background=2&amp;boundaries=true","Visa")</f>
        <v>Visa</v>
      </c>
      <c r="H1084" s="5" t="s">
        <v>9</v>
      </c>
      <c r="I1084" s="8">
        <v>41.32788</v>
      </c>
      <c r="J1084" s="9">
        <v>48.376980000000003</v>
      </c>
      <c r="K1084" s="9">
        <v>49.830939999999998</v>
      </c>
      <c r="L1084" s="14">
        <v>42.267910000000001</v>
      </c>
      <c r="M1084" s="9">
        <v>48.876480000000001</v>
      </c>
      <c r="N1084" s="9">
        <v>52.34713</v>
      </c>
      <c r="O1084" s="14">
        <v>42.832680000000003</v>
      </c>
      <c r="P1084" s="9">
        <v>49.861289999999997</v>
      </c>
      <c r="Q1084" s="9">
        <v>52.715870000000002</v>
      </c>
      <c r="R1084" s="23">
        <v>42.539180000000002</v>
      </c>
      <c r="S1084" s="8">
        <v>0.56476999999999999</v>
      </c>
      <c r="T1084" s="9">
        <v>0.98480999999999996</v>
      </c>
      <c r="U1084" s="24">
        <v>0.36874000000000001</v>
      </c>
    </row>
    <row r="1085" spans="1:21" ht="12" customHeight="1" x14ac:dyDescent="0.25">
      <c r="A1085" s="5">
        <v>2854</v>
      </c>
      <c r="B1085" s="19" t="s">
        <v>546</v>
      </c>
      <c r="C1085" s="19" t="s">
        <v>12</v>
      </c>
      <c r="D1085" s="5" t="s">
        <v>547</v>
      </c>
      <c r="E1085" s="6">
        <v>367010.76172359998</v>
      </c>
      <c r="F1085" s="6">
        <v>6548354.1712934002</v>
      </c>
      <c r="G1085" s="7" t="str">
        <f>HYPERLINK("https://minkarta.lantmateriet.se/?e=367010,7617236&amp;n=6548354,1712934&amp;z=12&amp;profile=flygbildmedgranser&amp;background=2&amp;boundaries=true","Visa")</f>
        <v>Visa</v>
      </c>
      <c r="H1085" s="5" t="s">
        <v>10</v>
      </c>
      <c r="I1085" s="8">
        <v>41.511029999999998</v>
      </c>
      <c r="J1085" s="9">
        <v>48.334719999999997</v>
      </c>
      <c r="K1085" s="9">
        <v>49.788679999999999</v>
      </c>
      <c r="L1085" s="14">
        <v>42.433109999999999</v>
      </c>
      <c r="M1085" s="9">
        <v>48.834220000000002</v>
      </c>
      <c r="N1085" s="9">
        <v>52.304870000000001</v>
      </c>
      <c r="O1085" s="14">
        <v>42.75591</v>
      </c>
      <c r="P1085" s="9">
        <v>49.819029999999998</v>
      </c>
      <c r="Q1085" s="9">
        <v>52.673609999999996</v>
      </c>
      <c r="R1085" s="23">
        <v>39.851599999999998</v>
      </c>
      <c r="S1085" s="8">
        <v>0.32279999999999998</v>
      </c>
      <c r="T1085" s="9">
        <v>0.98480999999999996</v>
      </c>
      <c r="U1085" s="24">
        <v>0.36874000000000001</v>
      </c>
    </row>
    <row r="1086" spans="1:21" ht="12" customHeight="1" x14ac:dyDescent="0.25">
      <c r="A1086" s="5">
        <v>2855</v>
      </c>
      <c r="B1086" s="19" t="s">
        <v>546</v>
      </c>
      <c r="C1086" s="19" t="s">
        <v>12</v>
      </c>
      <c r="D1086" s="5" t="s">
        <v>547</v>
      </c>
      <c r="E1086" s="6">
        <v>367011.26570907002</v>
      </c>
      <c r="F1086" s="6">
        <v>6548345.6442248998</v>
      </c>
      <c r="G1086" s="7" t="str">
        <f>HYPERLINK("https://minkarta.lantmateriet.se/?e=367011,26570907&amp;n=6548345,6442249&amp;z=12&amp;profile=flygbildmedgranser&amp;background=2&amp;boundaries=true","Visa")</f>
        <v>Visa</v>
      </c>
      <c r="H1086" s="5" t="s">
        <v>11</v>
      </c>
      <c r="I1086" s="8">
        <v>41.758029999999998</v>
      </c>
      <c r="J1086" s="9">
        <v>47.520699999999998</v>
      </c>
      <c r="K1086" s="9">
        <v>49.049280000000003</v>
      </c>
      <c r="L1086" s="14">
        <v>42.689340000000001</v>
      </c>
      <c r="M1086" s="9">
        <v>47.949809999999999</v>
      </c>
      <c r="N1086" s="9">
        <v>49.567770000000003</v>
      </c>
      <c r="O1086" s="14">
        <v>42.642650000000003</v>
      </c>
      <c r="P1086" s="9">
        <v>49.363930000000003</v>
      </c>
      <c r="Q1086" s="9">
        <v>49.597090000000001</v>
      </c>
      <c r="R1086" s="23">
        <v>34.627719999999997</v>
      </c>
      <c r="S1086" s="8">
        <v>-4.6690000000000002E-2</v>
      </c>
      <c r="T1086" s="9">
        <v>1.41412</v>
      </c>
      <c r="U1086" s="24">
        <v>2.9319999999999999E-2</v>
      </c>
    </row>
    <row r="1087" spans="1:21" ht="12" customHeight="1" x14ac:dyDescent="0.25">
      <c r="A1087" s="5">
        <v>2856</v>
      </c>
      <c r="B1087" s="19" t="s">
        <v>548</v>
      </c>
      <c r="C1087" s="19" t="s">
        <v>12</v>
      </c>
      <c r="D1087" s="5" t="s">
        <v>549</v>
      </c>
      <c r="E1087" s="6">
        <v>366983.88528630999</v>
      </c>
      <c r="F1087" s="6">
        <v>6548368.7317251004</v>
      </c>
      <c r="G1087" s="7" t="str">
        <f>HYPERLINK("https://minkarta.lantmateriet.se/?e=366983,88528631&amp;n=6548368,7317251&amp;z=12&amp;profile=flygbildmedgranser&amp;background=2&amp;boundaries=true","Visa")</f>
        <v>Visa</v>
      </c>
      <c r="H1087" s="5" t="s">
        <v>8</v>
      </c>
      <c r="I1087" s="8">
        <v>41.779209999999999</v>
      </c>
      <c r="J1087" s="9">
        <v>48.699770000000001</v>
      </c>
      <c r="K1087" s="9">
        <v>50.228349999999999</v>
      </c>
      <c r="L1087" s="14">
        <v>42.713900000000002</v>
      </c>
      <c r="M1087" s="9">
        <v>49.128880000000002</v>
      </c>
      <c r="N1087" s="9">
        <v>50.746850000000002</v>
      </c>
      <c r="O1087" s="14">
        <v>42.861629999999998</v>
      </c>
      <c r="P1087" s="9">
        <v>49.157330000000002</v>
      </c>
      <c r="Q1087" s="9">
        <v>50.77617</v>
      </c>
      <c r="R1087" s="23">
        <v>39.02272</v>
      </c>
      <c r="S1087" s="8">
        <v>0.14773</v>
      </c>
      <c r="T1087" s="9">
        <v>2.845E-2</v>
      </c>
      <c r="U1087" s="24">
        <v>2.9319999999999999E-2</v>
      </c>
    </row>
    <row r="1088" spans="1:21" ht="12" customHeight="1" x14ac:dyDescent="0.25">
      <c r="A1088" s="5">
        <v>2857</v>
      </c>
      <c r="B1088" s="19" t="s">
        <v>548</v>
      </c>
      <c r="C1088" s="19" t="s">
        <v>12</v>
      </c>
      <c r="D1088" s="5" t="s">
        <v>549</v>
      </c>
      <c r="E1088" s="6">
        <v>366983.34677841997</v>
      </c>
      <c r="F1088" s="6">
        <v>6548377.2797870003</v>
      </c>
      <c r="G1088" s="7" t="str">
        <f>HYPERLINK("https://minkarta.lantmateriet.se/?e=366983,34677842&amp;n=6548377,279787&amp;z=12&amp;profile=flygbildmedgranser&amp;background=2&amp;boundaries=true","Visa")</f>
        <v>Visa</v>
      </c>
      <c r="H1088" s="5" t="s">
        <v>9</v>
      </c>
      <c r="I1088" s="8">
        <v>40.766910000000003</v>
      </c>
      <c r="J1088" s="9">
        <v>50.311410000000002</v>
      </c>
      <c r="K1088" s="9">
        <v>51.76538</v>
      </c>
      <c r="L1088" s="14">
        <v>41.703530000000001</v>
      </c>
      <c r="M1088" s="9">
        <v>50.81091</v>
      </c>
      <c r="N1088" s="9">
        <v>54.281570000000002</v>
      </c>
      <c r="O1088" s="14">
        <v>42.303719999999998</v>
      </c>
      <c r="P1088" s="9">
        <v>51.795729999999999</v>
      </c>
      <c r="Q1088" s="9">
        <v>54.650309999999998</v>
      </c>
      <c r="R1088" s="23">
        <v>44.300609999999999</v>
      </c>
      <c r="S1088" s="8">
        <v>0.60019</v>
      </c>
      <c r="T1088" s="9">
        <v>0.98482000000000003</v>
      </c>
      <c r="U1088" s="24">
        <v>0.36874000000000001</v>
      </c>
    </row>
    <row r="1089" spans="1:21" ht="12" customHeight="1" x14ac:dyDescent="0.25">
      <c r="A1089" s="5">
        <v>2858</v>
      </c>
      <c r="B1089" s="19" t="s">
        <v>548</v>
      </c>
      <c r="C1089" s="19" t="s">
        <v>12</v>
      </c>
      <c r="D1089" s="5" t="s">
        <v>549</v>
      </c>
      <c r="E1089" s="6">
        <v>366975.87971584999</v>
      </c>
      <c r="F1089" s="6">
        <v>6548373.0857792003</v>
      </c>
      <c r="G1089" s="7" t="str">
        <f>HYPERLINK("https://minkarta.lantmateriet.se/?e=366975,87971585&amp;n=6548373,0857792&amp;z=12&amp;profile=flygbildmedgranser&amp;background=2&amp;boundaries=true","Visa")</f>
        <v>Visa</v>
      </c>
      <c r="H1089" s="5" t="s">
        <v>10</v>
      </c>
      <c r="I1089" s="8">
        <v>41.329790000000003</v>
      </c>
      <c r="J1089" s="9">
        <v>50.044620000000002</v>
      </c>
      <c r="K1089" s="9">
        <v>51.49859</v>
      </c>
      <c r="L1089" s="14">
        <v>42.248460000000001</v>
      </c>
      <c r="M1089" s="9">
        <v>50.544119999999999</v>
      </c>
      <c r="N1089" s="9">
        <v>54.014780000000002</v>
      </c>
      <c r="O1089" s="14">
        <v>42.465200000000003</v>
      </c>
      <c r="P1089" s="9">
        <v>51.528939999999999</v>
      </c>
      <c r="Q1089" s="9">
        <v>54.383510000000001</v>
      </c>
      <c r="R1089" s="23">
        <v>40.424950000000003</v>
      </c>
      <c r="S1089" s="8">
        <v>0.21673999999999999</v>
      </c>
      <c r="T1089" s="9">
        <v>0.98482000000000003</v>
      </c>
      <c r="U1089" s="24">
        <v>0.36873</v>
      </c>
    </row>
    <row r="1090" spans="1:21" ht="12" customHeight="1" x14ac:dyDescent="0.25">
      <c r="A1090" s="5">
        <v>2859</v>
      </c>
      <c r="B1090" s="19" t="s">
        <v>548</v>
      </c>
      <c r="C1090" s="19" t="s">
        <v>12</v>
      </c>
      <c r="D1090" s="5" t="s">
        <v>549</v>
      </c>
      <c r="E1090" s="6">
        <v>366976.41822272999</v>
      </c>
      <c r="F1090" s="6">
        <v>6548364.5377174998</v>
      </c>
      <c r="G1090" s="7" t="str">
        <f>HYPERLINK("https://minkarta.lantmateriet.se/?e=366976,41822273&amp;n=6548364,5377175&amp;z=12&amp;profile=flygbildmedgranser&amp;background=2&amp;boundaries=true","Visa")</f>
        <v>Visa</v>
      </c>
      <c r="H1090" s="5" t="s">
        <v>11</v>
      </c>
      <c r="I1090" s="8">
        <v>40.331760000000003</v>
      </c>
      <c r="J1090" s="9">
        <v>43.910960000000003</v>
      </c>
      <c r="K1090" s="9">
        <v>45.439540000000001</v>
      </c>
      <c r="L1090" s="14">
        <v>41.265239999999999</v>
      </c>
      <c r="M1090" s="9">
        <v>44.340069999999997</v>
      </c>
      <c r="N1090" s="9">
        <v>45.958039999999997</v>
      </c>
      <c r="O1090" s="14">
        <v>41.325290000000003</v>
      </c>
      <c r="P1090" s="9">
        <v>47.225020000000001</v>
      </c>
      <c r="Q1090" s="9">
        <v>47.225020000000001</v>
      </c>
      <c r="R1090" s="23">
        <v>35.867579999999997</v>
      </c>
      <c r="S1090" s="8">
        <v>6.0049999999999999E-2</v>
      </c>
      <c r="T1090" s="9">
        <v>2.8849499999999999</v>
      </c>
      <c r="U1090" s="24">
        <v>1.26698</v>
      </c>
    </row>
    <row r="1091" spans="1:21" ht="12" customHeight="1" x14ac:dyDescent="0.25">
      <c r="A1091" s="5">
        <v>2860</v>
      </c>
      <c r="B1091" s="19" t="s">
        <v>550</v>
      </c>
      <c r="C1091" s="19" t="s">
        <v>12</v>
      </c>
      <c r="D1091" s="5" t="s">
        <v>551</v>
      </c>
      <c r="E1091" s="6">
        <v>366965.05929797998</v>
      </c>
      <c r="F1091" s="6">
        <v>6548378.8887467002</v>
      </c>
      <c r="G1091" s="7" t="str">
        <f>HYPERLINK("https://minkarta.lantmateriet.se/?e=366965,05929798&amp;n=6548378,8887467&amp;z=12&amp;profile=flygbildmedgranser&amp;background=2&amp;boundaries=true","Visa")</f>
        <v>Visa</v>
      </c>
      <c r="H1091" s="5" t="s">
        <v>8</v>
      </c>
      <c r="I1091" s="8">
        <v>40.598289999999999</v>
      </c>
      <c r="J1091" s="9">
        <v>46.499969999999998</v>
      </c>
      <c r="K1091" s="9">
        <v>47.95393</v>
      </c>
      <c r="L1091" s="14">
        <v>41.530639999999998</v>
      </c>
      <c r="M1091" s="9">
        <v>46.999470000000002</v>
      </c>
      <c r="N1091" s="9">
        <v>50.470120000000001</v>
      </c>
      <c r="O1091" s="14">
        <v>41.663879999999999</v>
      </c>
      <c r="P1091" s="9">
        <v>47.984290000000001</v>
      </c>
      <c r="Q1091" s="9">
        <v>50.838859999999997</v>
      </c>
      <c r="R1091" s="23">
        <v>39.372839999999997</v>
      </c>
      <c r="S1091" s="8">
        <v>0.13324</v>
      </c>
      <c r="T1091" s="9">
        <v>0.98482000000000003</v>
      </c>
      <c r="U1091" s="24">
        <v>0.36874000000000001</v>
      </c>
    </row>
    <row r="1092" spans="1:21" ht="12" customHeight="1" x14ac:dyDescent="0.25">
      <c r="A1092" s="5">
        <v>2861</v>
      </c>
      <c r="B1092" s="19" t="s">
        <v>550</v>
      </c>
      <c r="C1092" s="19" t="s">
        <v>12</v>
      </c>
      <c r="D1092" s="5" t="s">
        <v>551</v>
      </c>
      <c r="E1092" s="6">
        <v>366964.53375568998</v>
      </c>
      <c r="F1092" s="6">
        <v>6548387.5062993001</v>
      </c>
      <c r="G1092" s="7" t="str">
        <f>HYPERLINK("https://minkarta.lantmateriet.se/?e=366964,53375569&amp;n=6548387,5062993&amp;z=12&amp;profile=flygbildmedgranser&amp;background=2&amp;boundaries=true","Visa")</f>
        <v>Visa</v>
      </c>
      <c r="H1092" s="5" t="s">
        <v>9</v>
      </c>
      <c r="I1092" s="8">
        <v>40.080030000000001</v>
      </c>
      <c r="J1092" s="9">
        <v>48.207470000000001</v>
      </c>
      <c r="K1092" s="9">
        <v>49.661430000000003</v>
      </c>
      <c r="L1092" s="14">
        <v>41.01491</v>
      </c>
      <c r="M1092" s="9">
        <v>48.706969999999998</v>
      </c>
      <c r="N1092" s="9">
        <v>52.177619999999997</v>
      </c>
      <c r="O1092" s="14">
        <v>41.648539999999997</v>
      </c>
      <c r="P1092" s="9">
        <v>49.691780000000001</v>
      </c>
      <c r="Q1092" s="9">
        <v>52.54636</v>
      </c>
      <c r="R1092" s="23">
        <v>44.573070000000001</v>
      </c>
      <c r="S1092" s="8">
        <v>0.63363000000000003</v>
      </c>
      <c r="T1092" s="9">
        <v>0.98480999999999996</v>
      </c>
      <c r="U1092" s="24">
        <v>0.36874000000000001</v>
      </c>
    </row>
    <row r="1093" spans="1:21" ht="12" customHeight="1" x14ac:dyDescent="0.25">
      <c r="A1093" s="5">
        <v>2862</v>
      </c>
      <c r="B1093" s="19" t="s">
        <v>550</v>
      </c>
      <c r="C1093" s="19" t="s">
        <v>12</v>
      </c>
      <c r="D1093" s="5" t="s">
        <v>551</v>
      </c>
      <c r="E1093" s="6">
        <v>366957.03620372998</v>
      </c>
      <c r="F1093" s="6">
        <v>6548383.2252567997</v>
      </c>
      <c r="G1093" s="7" t="str">
        <f>HYPERLINK("https://minkarta.lantmateriet.se/?e=366957,03620373&amp;n=6548383,2252568&amp;z=12&amp;profile=flygbildmedgranser&amp;background=2&amp;boundaries=true","Visa")</f>
        <v>Visa</v>
      </c>
      <c r="H1093" s="5" t="s">
        <v>10</v>
      </c>
      <c r="I1093" s="8">
        <v>40.290909999999997</v>
      </c>
      <c r="J1093" s="9">
        <v>49.372419999999998</v>
      </c>
      <c r="K1093" s="9">
        <v>50.82638</v>
      </c>
      <c r="L1093" s="14">
        <v>41.21555</v>
      </c>
      <c r="M1093" s="9">
        <v>49.87191</v>
      </c>
      <c r="N1093" s="9">
        <v>53.342570000000002</v>
      </c>
      <c r="O1093" s="14">
        <v>42.123190000000001</v>
      </c>
      <c r="P1093" s="9">
        <v>50.856729999999999</v>
      </c>
      <c r="Q1093" s="9">
        <v>53.711309999999997</v>
      </c>
      <c r="R1093" s="23">
        <v>44.825429999999997</v>
      </c>
      <c r="S1093" s="8">
        <v>0.90764</v>
      </c>
      <c r="T1093" s="9">
        <v>0.98482000000000003</v>
      </c>
      <c r="U1093" s="24">
        <v>0.36874000000000001</v>
      </c>
    </row>
    <row r="1094" spans="1:21" ht="12" customHeight="1" x14ac:dyDescent="0.25">
      <c r="A1094" s="5">
        <v>2863</v>
      </c>
      <c r="B1094" s="19" t="s">
        <v>550</v>
      </c>
      <c r="C1094" s="19" t="s">
        <v>12</v>
      </c>
      <c r="D1094" s="5" t="s">
        <v>551</v>
      </c>
      <c r="E1094" s="6">
        <v>366957.56174585002</v>
      </c>
      <c r="F1094" s="6">
        <v>6548374.6077049002</v>
      </c>
      <c r="G1094" s="7" t="str">
        <f>HYPERLINK("https://minkarta.lantmateriet.se/?e=366957,56174585&amp;n=6548374,6077049&amp;z=12&amp;profile=flygbildmedgranser&amp;background=2&amp;boundaries=true","Visa")</f>
        <v>Visa</v>
      </c>
      <c r="H1094" s="5" t="s">
        <v>11</v>
      </c>
      <c r="I1094" s="8">
        <v>40.50412</v>
      </c>
      <c r="J1094" s="9">
        <v>47.670479999999998</v>
      </c>
      <c r="K1094" s="9">
        <v>49.199060000000003</v>
      </c>
      <c r="L1094" s="14">
        <v>41.426830000000002</v>
      </c>
      <c r="M1094" s="9">
        <v>48.099589999999999</v>
      </c>
      <c r="N1094" s="9">
        <v>49.717559999999999</v>
      </c>
      <c r="O1094" s="14">
        <v>41.439570000000003</v>
      </c>
      <c r="P1094" s="9">
        <v>51.370089999999998</v>
      </c>
      <c r="Q1094" s="9">
        <v>51.370089999999998</v>
      </c>
      <c r="R1094" s="23">
        <v>36.846530000000001</v>
      </c>
      <c r="S1094" s="8">
        <v>1.274E-2</v>
      </c>
      <c r="T1094" s="9">
        <v>3.2705000000000002</v>
      </c>
      <c r="U1094" s="24">
        <v>1.6525300000000001</v>
      </c>
    </row>
    <row r="1095" spans="1:21" ht="12" customHeight="1" x14ac:dyDescent="0.25">
      <c r="A1095" s="5">
        <v>2864</v>
      </c>
      <c r="B1095" s="19" t="s">
        <v>552</v>
      </c>
      <c r="C1095" s="19" t="s">
        <v>12</v>
      </c>
      <c r="D1095" s="5" t="s">
        <v>553</v>
      </c>
      <c r="E1095" s="6">
        <v>366907.93470591999</v>
      </c>
      <c r="F1095" s="6">
        <v>6548395.8129006</v>
      </c>
      <c r="G1095" s="7" t="str">
        <f>HYPERLINK("https://minkarta.lantmateriet.se/?e=366907,93470592&amp;n=6548395,8129006&amp;z=12&amp;profile=flygbildmedgranser&amp;background=2&amp;boundaries=true","Visa")</f>
        <v>Visa</v>
      </c>
      <c r="H1095" s="5" t="s">
        <v>15</v>
      </c>
      <c r="I1095" s="8">
        <v>38.699280000000002</v>
      </c>
      <c r="J1095" s="9">
        <v>44.606459999999998</v>
      </c>
      <c r="K1095" s="9">
        <v>46.135039999999996</v>
      </c>
      <c r="L1095" s="14">
        <v>39.619160000000001</v>
      </c>
      <c r="M1095" s="9">
        <v>45.03557</v>
      </c>
      <c r="N1095" s="9">
        <v>46.65354</v>
      </c>
      <c r="O1095" s="14">
        <v>39.922939999999997</v>
      </c>
      <c r="P1095" s="9">
        <v>50.041879999999999</v>
      </c>
      <c r="Q1095" s="9">
        <v>50.041879999999999</v>
      </c>
      <c r="R1095" s="23">
        <v>35.848010000000002</v>
      </c>
      <c r="S1095" s="8">
        <v>0.30377999999999999</v>
      </c>
      <c r="T1095" s="9">
        <v>5.00631</v>
      </c>
      <c r="U1095" s="24">
        <v>3.3883399999999999</v>
      </c>
    </row>
    <row r="1096" spans="1:21" ht="12" customHeight="1" x14ac:dyDescent="0.25">
      <c r="A1096" s="5">
        <v>2865</v>
      </c>
      <c r="B1096" s="19" t="s">
        <v>552</v>
      </c>
      <c r="C1096" s="19" t="s">
        <v>12</v>
      </c>
      <c r="D1096" s="5" t="s">
        <v>553</v>
      </c>
      <c r="E1096" s="6">
        <v>366914.36010255001</v>
      </c>
      <c r="F1096" s="6">
        <v>6548401.5237073004</v>
      </c>
      <c r="G1096" s="7" t="str">
        <f>HYPERLINK("https://minkarta.lantmateriet.se/?e=366914,36010255&amp;n=6548401,5237073&amp;z=12&amp;profile=flygbildmedgranser&amp;background=2&amp;boundaries=true","Visa")</f>
        <v>Visa</v>
      </c>
      <c r="H1096" s="5" t="s">
        <v>13</v>
      </c>
      <c r="I1096" s="8">
        <v>40.59507</v>
      </c>
      <c r="J1096" s="9">
        <v>48.066229999999997</v>
      </c>
      <c r="K1096" s="9">
        <v>49.520200000000003</v>
      </c>
      <c r="L1096" s="14">
        <v>41.532170000000001</v>
      </c>
      <c r="M1096" s="9">
        <v>48.565730000000002</v>
      </c>
      <c r="N1096" s="9">
        <v>52.036389999999997</v>
      </c>
      <c r="O1096" s="14">
        <v>41.701549999999997</v>
      </c>
      <c r="P1096" s="9">
        <v>49.550550000000001</v>
      </c>
      <c r="Q1096" s="9">
        <v>52.405119999999997</v>
      </c>
      <c r="R1096" s="23">
        <v>32.709699999999998</v>
      </c>
      <c r="S1096" s="8">
        <v>0.16938</v>
      </c>
      <c r="T1096" s="9">
        <v>0.98482000000000003</v>
      </c>
      <c r="U1096" s="24">
        <v>0.36873</v>
      </c>
    </row>
    <row r="1097" spans="1:21" ht="12" customHeight="1" x14ac:dyDescent="0.25">
      <c r="A1097" s="5">
        <v>2866</v>
      </c>
      <c r="B1097" s="19" t="s">
        <v>552</v>
      </c>
      <c r="C1097" s="19" t="s">
        <v>12</v>
      </c>
      <c r="D1097" s="5" t="s">
        <v>553</v>
      </c>
      <c r="E1097" s="6">
        <v>366912.00329607999</v>
      </c>
      <c r="F1097" s="6">
        <v>6548409.7911034003</v>
      </c>
      <c r="G1097" s="7" t="str">
        <f>HYPERLINK("https://minkarta.lantmateriet.se/?e=366912,00329608&amp;n=6548409,7911034&amp;z=12&amp;profile=flygbildmedgranser&amp;background=2&amp;boundaries=true","Visa")</f>
        <v>Visa</v>
      </c>
      <c r="H1097" s="5" t="s">
        <v>14</v>
      </c>
      <c r="I1097" s="8">
        <v>42.230539999999998</v>
      </c>
      <c r="J1097" s="9">
        <v>52.869900000000001</v>
      </c>
      <c r="K1097" s="9">
        <v>54.323860000000003</v>
      </c>
      <c r="L1097" s="14">
        <v>43.199159999999999</v>
      </c>
      <c r="M1097" s="9">
        <v>53.369399999999999</v>
      </c>
      <c r="N1097" s="9">
        <v>56.840049999999998</v>
      </c>
      <c r="O1097" s="14">
        <v>43.993110000000001</v>
      </c>
      <c r="P1097" s="9">
        <v>54.354210000000002</v>
      </c>
      <c r="Q1097" s="9">
        <v>57.20879</v>
      </c>
      <c r="R1097" s="23">
        <v>47.245040000000003</v>
      </c>
      <c r="S1097" s="8">
        <v>0.79395000000000004</v>
      </c>
      <c r="T1097" s="9">
        <v>0.98480999999999996</v>
      </c>
      <c r="U1097" s="24">
        <v>0.36874000000000001</v>
      </c>
    </row>
    <row r="1098" spans="1:21" ht="12" customHeight="1" x14ac:dyDescent="0.25">
      <c r="A1098" s="5">
        <v>2867</v>
      </c>
      <c r="B1098" s="19" t="s">
        <v>552</v>
      </c>
      <c r="C1098" s="19" t="s">
        <v>12</v>
      </c>
      <c r="D1098" s="5" t="s">
        <v>553</v>
      </c>
      <c r="E1098" s="6">
        <v>366905.57789945003</v>
      </c>
      <c r="F1098" s="6">
        <v>6548404.0802966999</v>
      </c>
      <c r="G1098" s="7" t="str">
        <f>HYPERLINK("https://minkarta.lantmateriet.se/?e=366905,57789945&amp;n=6548404,0802967&amp;z=12&amp;profile=flygbildmedgranser&amp;background=2&amp;boundaries=true","Visa")</f>
        <v>Visa</v>
      </c>
      <c r="H1098" s="5" t="s">
        <v>16</v>
      </c>
      <c r="I1098" s="8">
        <v>42.342509999999997</v>
      </c>
      <c r="J1098" s="9">
        <v>51.339390000000002</v>
      </c>
      <c r="K1098" s="9">
        <v>52.793349999999997</v>
      </c>
      <c r="L1098" s="14">
        <v>43.315860000000001</v>
      </c>
      <c r="M1098" s="9">
        <v>51.838889999999999</v>
      </c>
      <c r="N1098" s="9">
        <v>55.309539999999998</v>
      </c>
      <c r="O1098" s="14">
        <v>44.162179999999999</v>
      </c>
      <c r="P1098" s="9">
        <v>55.144440000000003</v>
      </c>
      <c r="Q1098" s="9">
        <v>57.999009999999998</v>
      </c>
      <c r="R1098" s="23">
        <v>45.365679999999998</v>
      </c>
      <c r="S1098" s="8">
        <v>0.84631999999999996</v>
      </c>
      <c r="T1098" s="9">
        <v>3.3055500000000002</v>
      </c>
      <c r="U1098" s="24">
        <v>2.68947</v>
      </c>
    </row>
    <row r="1099" spans="1:21" ht="12" customHeight="1" x14ac:dyDescent="0.25">
      <c r="A1099" s="5">
        <v>2889</v>
      </c>
      <c r="B1099" s="19" t="s">
        <v>554</v>
      </c>
      <c r="C1099" s="19" t="s">
        <v>254</v>
      </c>
      <c r="D1099" s="5" t="s">
        <v>555</v>
      </c>
      <c r="E1099" s="6">
        <v>366824.98432798003</v>
      </c>
      <c r="F1099" s="6">
        <v>6548808.0339647001</v>
      </c>
      <c r="G1099" s="7" t="str">
        <f>HYPERLINK("https://minkarta.lantmateriet.se/?e=366824,98432798&amp;n=6548808,0339647&amp;z=12&amp;profile=flygbildmedgranser&amp;background=2&amp;boundaries=true","Visa")</f>
        <v>Visa</v>
      </c>
      <c r="H1099" s="5" t="s">
        <v>8</v>
      </c>
      <c r="I1099" s="8">
        <v>44.507449999999999</v>
      </c>
      <c r="J1099" s="9">
        <v>55.074739999999998</v>
      </c>
      <c r="K1099" s="9">
        <v>55.074739999999998</v>
      </c>
      <c r="L1099" s="14">
        <v>45.416359999999997</v>
      </c>
      <c r="M1099" s="9">
        <v>55.074739999999998</v>
      </c>
      <c r="N1099" s="9">
        <v>55.074739999999998</v>
      </c>
      <c r="O1099" s="14">
        <v>45.6342</v>
      </c>
      <c r="P1099" s="9">
        <v>55.074739999999998</v>
      </c>
      <c r="Q1099" s="9">
        <v>55.074739999999998</v>
      </c>
      <c r="R1099" s="23">
        <v>39.73903</v>
      </c>
      <c r="S1099" s="8">
        <v>0.21784000000000001</v>
      </c>
      <c r="T1099" s="9">
        <v>0</v>
      </c>
      <c r="U1099" s="24">
        <v>0</v>
      </c>
    </row>
    <row r="1100" spans="1:21" ht="12" customHeight="1" x14ac:dyDescent="0.25">
      <c r="A1100" s="5">
        <v>2890</v>
      </c>
      <c r="B1100" s="19" t="s">
        <v>554</v>
      </c>
      <c r="C1100" s="19" t="s">
        <v>254</v>
      </c>
      <c r="D1100" s="5" t="s">
        <v>555</v>
      </c>
      <c r="E1100" s="6">
        <v>366821.30403881997</v>
      </c>
      <c r="F1100" s="6">
        <v>6548818.1888285996</v>
      </c>
      <c r="G1100" s="7" t="str">
        <f>HYPERLINK("https://minkarta.lantmateriet.se/?e=366821,30403882&amp;n=6548818,1888286&amp;z=12&amp;profile=flygbildmedgranser&amp;background=2&amp;boundaries=true","Visa")</f>
        <v>Visa</v>
      </c>
      <c r="H1100" s="5" t="s">
        <v>9</v>
      </c>
      <c r="I1100" s="8">
        <v>48.707340000000002</v>
      </c>
      <c r="J1100" s="9">
        <v>67.290319999999994</v>
      </c>
      <c r="K1100" s="9">
        <v>67.290319999999994</v>
      </c>
      <c r="L1100" s="14">
        <v>49.575229999999998</v>
      </c>
      <c r="M1100" s="9">
        <v>67.290319999999994</v>
      </c>
      <c r="N1100" s="9">
        <v>67.290319999999994</v>
      </c>
      <c r="O1100" s="14">
        <v>49.766280000000002</v>
      </c>
      <c r="P1100" s="9">
        <v>67.290319999999994</v>
      </c>
      <c r="Q1100" s="9">
        <v>67.290319999999994</v>
      </c>
      <c r="R1100" s="23">
        <v>32.269359999999999</v>
      </c>
      <c r="S1100" s="8">
        <v>0.19105</v>
      </c>
      <c r="T1100" s="9">
        <v>0</v>
      </c>
      <c r="U1100" s="24">
        <v>0</v>
      </c>
    </row>
    <row r="1101" spans="1:21" ht="12" customHeight="1" x14ac:dyDescent="0.25">
      <c r="A1101" s="5">
        <v>2891</v>
      </c>
      <c r="B1101" s="19" t="s">
        <v>554</v>
      </c>
      <c r="C1101" s="19" t="s">
        <v>254</v>
      </c>
      <c r="D1101" s="5" t="s">
        <v>555</v>
      </c>
      <c r="E1101" s="6">
        <v>366812.96717313002</v>
      </c>
      <c r="F1101" s="6">
        <v>6548821.3405379001</v>
      </c>
      <c r="G1101" s="7" t="str">
        <f>HYPERLINK("https://minkarta.lantmateriet.se/?e=366812,96717313&amp;n=6548821,3405379&amp;z=12&amp;profile=flygbildmedgranser&amp;background=2&amp;boundaries=true","Visa")</f>
        <v>Visa</v>
      </c>
      <c r="H1101" s="5" t="s">
        <v>10</v>
      </c>
      <c r="I1101" s="8">
        <v>52.920229999999997</v>
      </c>
      <c r="J1101" s="9">
        <v>71.416470000000004</v>
      </c>
      <c r="K1101" s="9">
        <v>71.416470000000004</v>
      </c>
      <c r="L1101" s="14">
        <v>53.763190000000002</v>
      </c>
      <c r="M1101" s="9">
        <v>71.416470000000004</v>
      </c>
      <c r="N1101" s="9">
        <v>71.416470000000004</v>
      </c>
      <c r="O1101" s="14">
        <v>54.05518</v>
      </c>
      <c r="P1101" s="9">
        <v>71.416470000000004</v>
      </c>
      <c r="Q1101" s="9">
        <v>71.416470000000004</v>
      </c>
      <c r="R1101" s="23">
        <v>30.04691</v>
      </c>
      <c r="S1101" s="8">
        <v>0.29199000000000003</v>
      </c>
      <c r="T1101" s="9">
        <v>0</v>
      </c>
      <c r="U1101" s="24">
        <v>0</v>
      </c>
    </row>
    <row r="1102" spans="1:21" ht="12" customHeight="1" x14ac:dyDescent="0.25">
      <c r="A1102" s="5">
        <v>2892</v>
      </c>
      <c r="B1102" s="19" t="s">
        <v>554</v>
      </c>
      <c r="C1102" s="19" t="s">
        <v>254</v>
      </c>
      <c r="D1102" s="5" t="s">
        <v>555</v>
      </c>
      <c r="E1102" s="6">
        <v>366815.76446238998</v>
      </c>
      <c r="F1102" s="6">
        <v>6548817.0866759</v>
      </c>
      <c r="G1102" s="7" t="str">
        <f>HYPERLINK("https://minkarta.lantmateriet.se/?e=366815,76446239&amp;n=6548817,0866759&amp;z=12&amp;profile=flygbildmedgranser&amp;background=2&amp;boundaries=true","Visa")</f>
        <v>Visa</v>
      </c>
      <c r="H1102" s="5" t="s">
        <v>11</v>
      </c>
      <c r="I1102" s="8">
        <v>50.820160000000001</v>
      </c>
      <c r="J1102" s="9">
        <v>71.04495</v>
      </c>
      <c r="K1102" s="9">
        <v>71.04495</v>
      </c>
      <c r="L1102" s="14">
        <v>51.673679999999997</v>
      </c>
      <c r="M1102" s="9">
        <v>71.04495</v>
      </c>
      <c r="N1102" s="9">
        <v>71.04495</v>
      </c>
      <c r="O1102" s="14">
        <v>51.918590000000002</v>
      </c>
      <c r="P1102" s="9">
        <v>71.04495</v>
      </c>
      <c r="Q1102" s="9">
        <v>71.04495</v>
      </c>
      <c r="R1102" s="23">
        <v>37.88373</v>
      </c>
      <c r="S1102" s="8">
        <v>0.24490999999999999</v>
      </c>
      <c r="T1102" s="9">
        <v>0</v>
      </c>
      <c r="U1102" s="24">
        <v>0</v>
      </c>
    </row>
    <row r="1103" spans="1:21" ht="12" customHeight="1" x14ac:dyDescent="0.25">
      <c r="A1103" s="5">
        <v>2893</v>
      </c>
      <c r="B1103" s="19" t="s">
        <v>554</v>
      </c>
      <c r="C1103" s="19" t="s">
        <v>254</v>
      </c>
      <c r="D1103" s="5" t="s">
        <v>555</v>
      </c>
      <c r="E1103" s="6">
        <v>366817.20317441999</v>
      </c>
      <c r="F1103" s="6">
        <v>6548810.8270399002</v>
      </c>
      <c r="G1103" s="7" t="str">
        <f>HYPERLINK("https://minkarta.lantmateriet.se/?e=366817,20317442&amp;n=6548810,8270399&amp;z=12&amp;profile=flygbildmedgranser&amp;background=2&amp;boundaries=true","Visa")</f>
        <v>Visa</v>
      </c>
      <c r="H1103" s="5" t="s">
        <v>10</v>
      </c>
      <c r="I1103" s="8">
        <v>51.244489999999999</v>
      </c>
      <c r="J1103" s="9">
        <v>69.082599999999999</v>
      </c>
      <c r="K1103" s="9">
        <v>69.082599999999999</v>
      </c>
      <c r="L1103" s="14">
        <v>52.106369999999998</v>
      </c>
      <c r="M1103" s="9">
        <v>69.082599999999999</v>
      </c>
      <c r="N1103" s="9">
        <v>69.082599999999999</v>
      </c>
      <c r="O1103" s="14">
        <v>52.316479999999999</v>
      </c>
      <c r="P1103" s="9">
        <v>69.082599999999999</v>
      </c>
      <c r="Q1103" s="9">
        <v>69.082599999999999</v>
      </c>
      <c r="R1103" s="23">
        <v>28.651109999999999</v>
      </c>
      <c r="S1103" s="8">
        <v>0.21010999999999999</v>
      </c>
      <c r="T1103" s="9">
        <v>0</v>
      </c>
      <c r="U1103" s="24">
        <v>0</v>
      </c>
    </row>
    <row r="1104" spans="1:21" ht="12" customHeight="1" x14ac:dyDescent="0.25">
      <c r="A1104" s="5">
        <v>2894</v>
      </c>
      <c r="B1104" s="19" t="s">
        <v>554</v>
      </c>
      <c r="C1104" s="19" t="s">
        <v>254</v>
      </c>
      <c r="D1104" s="5" t="s">
        <v>555</v>
      </c>
      <c r="E1104" s="6">
        <v>366818.08896408998</v>
      </c>
      <c r="F1104" s="6">
        <v>6548804.9121748004</v>
      </c>
      <c r="G1104" s="7" t="str">
        <f>HYPERLINK("https://minkarta.lantmateriet.se/?e=366818,08896409&amp;n=6548804,9121748&amp;z=12&amp;profile=flygbildmedgranser&amp;background=2&amp;boundaries=true","Visa")</f>
        <v>Visa</v>
      </c>
      <c r="H1104" s="5" t="s">
        <v>11</v>
      </c>
      <c r="I1104" s="8">
        <v>48.836939999999998</v>
      </c>
      <c r="J1104" s="9">
        <v>68.081620000000001</v>
      </c>
      <c r="K1104" s="9">
        <v>68.081620000000001</v>
      </c>
      <c r="L1104" s="14">
        <v>49.714289999999998</v>
      </c>
      <c r="M1104" s="9">
        <v>68.081620000000001</v>
      </c>
      <c r="N1104" s="9">
        <v>68.081620000000001</v>
      </c>
      <c r="O1104" s="14">
        <v>49.904179999999997</v>
      </c>
      <c r="P1104" s="9">
        <v>68.081620000000001</v>
      </c>
      <c r="Q1104" s="9">
        <v>68.081620000000001</v>
      </c>
      <c r="R1104" s="23">
        <v>36.666040000000002</v>
      </c>
      <c r="S1104" s="8">
        <v>0.18989</v>
      </c>
      <c r="T1104" s="9">
        <v>0</v>
      </c>
      <c r="U1104" s="24">
        <v>0</v>
      </c>
    </row>
    <row r="1105" spans="1:21" ht="12" customHeight="1" x14ac:dyDescent="0.25">
      <c r="A1105" s="5">
        <v>2895</v>
      </c>
      <c r="B1105" s="19" t="s">
        <v>556</v>
      </c>
      <c r="C1105" s="19" t="s">
        <v>254</v>
      </c>
      <c r="D1105" s="5" t="s">
        <v>557</v>
      </c>
      <c r="E1105" s="6">
        <v>366825.66171012999</v>
      </c>
      <c r="F1105" s="6">
        <v>6548825.8435931997</v>
      </c>
      <c r="G1105" s="7" t="str">
        <f>HYPERLINK("https://minkarta.lantmateriet.se/?e=366825,66171013&amp;n=6548825,8435932&amp;z=12&amp;profile=flygbildmedgranser&amp;background=2&amp;boundaries=true","Visa")</f>
        <v>Visa</v>
      </c>
      <c r="H1105" s="5" t="s">
        <v>10</v>
      </c>
      <c r="I1105" s="8">
        <v>51.320900000000002</v>
      </c>
      <c r="J1105" s="9">
        <v>69.346440000000001</v>
      </c>
      <c r="K1105" s="9">
        <v>69.346440000000001</v>
      </c>
      <c r="L1105" s="14">
        <v>52.179679999999998</v>
      </c>
      <c r="M1105" s="9">
        <v>69.346440000000001</v>
      </c>
      <c r="N1105" s="9">
        <v>69.346440000000001</v>
      </c>
      <c r="O1105" s="14">
        <v>52.403419999999997</v>
      </c>
      <c r="P1105" s="9">
        <v>69.346440000000001</v>
      </c>
      <c r="Q1105" s="9">
        <v>69.346440000000001</v>
      </c>
      <c r="R1105" s="23">
        <v>28.953690000000002</v>
      </c>
      <c r="S1105" s="8">
        <v>0.22373999999999999</v>
      </c>
      <c r="T1105" s="9">
        <v>0</v>
      </c>
      <c r="U1105" s="24">
        <v>0</v>
      </c>
    </row>
    <row r="1106" spans="1:21" ht="12" customHeight="1" x14ac:dyDescent="0.25">
      <c r="A1106" s="5">
        <v>2896</v>
      </c>
      <c r="B1106" s="19" t="s">
        <v>556</v>
      </c>
      <c r="C1106" s="19" t="s">
        <v>254</v>
      </c>
      <c r="D1106" s="5" t="s">
        <v>557</v>
      </c>
      <c r="E1106" s="6">
        <v>366826.57746842998</v>
      </c>
      <c r="F1106" s="6">
        <v>6548820.0296719</v>
      </c>
      <c r="G1106" s="7" t="str">
        <f>HYPERLINK("https://minkarta.lantmateriet.se/?e=366826,57746843&amp;n=6548820,0296719&amp;z=12&amp;profile=flygbildmedgranser&amp;background=2&amp;boundaries=true","Visa")</f>
        <v>Visa</v>
      </c>
      <c r="H1106" s="5" t="s">
        <v>11</v>
      </c>
      <c r="I1106" s="8">
        <v>48.568199999999997</v>
      </c>
      <c r="J1106" s="9">
        <v>65.953670000000002</v>
      </c>
      <c r="K1106" s="9">
        <v>65.953670000000002</v>
      </c>
      <c r="L1106" s="14">
        <v>49.446480000000001</v>
      </c>
      <c r="M1106" s="9">
        <v>65.953670000000002</v>
      </c>
      <c r="N1106" s="9">
        <v>65.953670000000002</v>
      </c>
      <c r="O1106" s="14">
        <v>49.623730000000002</v>
      </c>
      <c r="P1106" s="9">
        <v>65.953670000000002</v>
      </c>
      <c r="Q1106" s="9">
        <v>65.953670000000002</v>
      </c>
      <c r="R1106" s="23">
        <v>34.554139999999997</v>
      </c>
      <c r="S1106" s="8">
        <v>0.17724999999999999</v>
      </c>
      <c r="T1106" s="9">
        <v>0</v>
      </c>
      <c r="U1106" s="24">
        <v>0</v>
      </c>
    </row>
    <row r="1107" spans="1:21" ht="12" customHeight="1" x14ac:dyDescent="0.25">
      <c r="A1107" s="5">
        <v>2897</v>
      </c>
      <c r="B1107" s="19" t="s">
        <v>556</v>
      </c>
      <c r="C1107" s="19" t="s">
        <v>254</v>
      </c>
      <c r="D1107" s="5" t="s">
        <v>557</v>
      </c>
      <c r="E1107" s="6">
        <v>366833.47979984002</v>
      </c>
      <c r="F1107" s="6">
        <v>6548823.1094225999</v>
      </c>
      <c r="G1107" s="7" t="str">
        <f>HYPERLINK("https://minkarta.lantmateriet.se/?e=366833,47979984&amp;n=6548823,1094226&amp;z=12&amp;profile=flygbildmedgranser&amp;background=2&amp;boundaries=true","Visa")</f>
        <v>Visa</v>
      </c>
      <c r="H1107" s="5" t="s">
        <v>8</v>
      </c>
      <c r="I1107" s="8">
        <v>44.321820000000002</v>
      </c>
      <c r="J1107" s="9">
        <v>54.488140000000001</v>
      </c>
      <c r="K1107" s="9">
        <v>54.488140000000001</v>
      </c>
      <c r="L1107" s="14">
        <v>45.225459999999998</v>
      </c>
      <c r="M1107" s="9">
        <v>54.488140000000001</v>
      </c>
      <c r="N1107" s="9">
        <v>54.488140000000001</v>
      </c>
      <c r="O1107" s="14">
        <v>45.53595</v>
      </c>
      <c r="P1107" s="9">
        <v>54.486899999999999</v>
      </c>
      <c r="Q1107" s="9">
        <v>54.486899999999999</v>
      </c>
      <c r="R1107" s="23">
        <v>40.094830000000002</v>
      </c>
      <c r="S1107" s="8">
        <v>0.31048999999999999</v>
      </c>
      <c r="T1107" s="9">
        <v>-1.24E-3</v>
      </c>
      <c r="U1107" s="24">
        <v>-1.24E-3</v>
      </c>
    </row>
    <row r="1108" spans="1:21" ht="12" customHeight="1" x14ac:dyDescent="0.25">
      <c r="A1108" s="5">
        <v>2898</v>
      </c>
      <c r="B1108" s="19" t="s">
        <v>556</v>
      </c>
      <c r="C1108" s="19" t="s">
        <v>254</v>
      </c>
      <c r="D1108" s="5" t="s">
        <v>557</v>
      </c>
      <c r="E1108" s="6">
        <v>366829.70105402003</v>
      </c>
      <c r="F1108" s="6">
        <v>6548833.3093184996</v>
      </c>
      <c r="G1108" s="7" t="str">
        <f>HYPERLINK("https://minkarta.lantmateriet.se/?e=366829,70105402&amp;n=6548833,3093185&amp;z=12&amp;profile=flygbildmedgranser&amp;background=2&amp;boundaries=true","Visa")</f>
        <v>Visa</v>
      </c>
      <c r="H1108" s="5" t="s">
        <v>9</v>
      </c>
      <c r="I1108" s="8">
        <v>49.458010000000002</v>
      </c>
      <c r="J1108" s="9">
        <v>67.960999999999999</v>
      </c>
      <c r="K1108" s="9">
        <v>67.960999999999999</v>
      </c>
      <c r="L1108" s="14">
        <v>50.341369999999998</v>
      </c>
      <c r="M1108" s="9">
        <v>67.960999999999999</v>
      </c>
      <c r="N1108" s="9">
        <v>67.960999999999999</v>
      </c>
      <c r="O1108" s="14">
        <v>50.536630000000002</v>
      </c>
      <c r="P1108" s="9">
        <v>67.960999999999999</v>
      </c>
      <c r="Q1108" s="9">
        <v>67.960999999999999</v>
      </c>
      <c r="R1108" s="23">
        <v>28.478249999999999</v>
      </c>
      <c r="S1108" s="8">
        <v>0.19525999999999999</v>
      </c>
      <c r="T1108" s="9">
        <v>0</v>
      </c>
      <c r="U1108" s="24">
        <v>0</v>
      </c>
    </row>
    <row r="1109" spans="1:21" ht="12" customHeight="1" x14ac:dyDescent="0.25">
      <c r="A1109" s="5">
        <v>2899</v>
      </c>
      <c r="B1109" s="19" t="s">
        <v>556</v>
      </c>
      <c r="C1109" s="19" t="s">
        <v>254</v>
      </c>
      <c r="D1109" s="5" t="s">
        <v>557</v>
      </c>
      <c r="E1109" s="6">
        <v>366821.19721830002</v>
      </c>
      <c r="F1109" s="6">
        <v>6548836.4916053005</v>
      </c>
      <c r="G1109" s="7" t="str">
        <f>HYPERLINK("https://minkarta.lantmateriet.se/?e=366821,1972183&amp;n=6548836,4916053&amp;z=12&amp;profile=flygbildmedgranser&amp;background=2&amp;boundaries=true","Visa")</f>
        <v>Visa</v>
      </c>
      <c r="H1109" s="5" t="s">
        <v>10</v>
      </c>
      <c r="I1109" s="8">
        <v>53.499740000000003</v>
      </c>
      <c r="J1109" s="9">
        <v>72.098789999999994</v>
      </c>
      <c r="K1109" s="9">
        <v>72.098789999999994</v>
      </c>
      <c r="L1109" s="14">
        <v>54.351039999999998</v>
      </c>
      <c r="M1109" s="9">
        <v>72.098789999999994</v>
      </c>
      <c r="N1109" s="9">
        <v>72.098789999999994</v>
      </c>
      <c r="O1109" s="14">
        <v>54.636800000000001</v>
      </c>
      <c r="P1109" s="9">
        <v>72.098789999999994</v>
      </c>
      <c r="Q1109" s="9">
        <v>72.098789999999994</v>
      </c>
      <c r="R1109" s="23">
        <v>29.671230000000001</v>
      </c>
      <c r="S1109" s="8">
        <v>0.28576000000000001</v>
      </c>
      <c r="T1109" s="9">
        <v>0</v>
      </c>
      <c r="U1109" s="24">
        <v>0</v>
      </c>
    </row>
    <row r="1110" spans="1:21" ht="12" customHeight="1" x14ac:dyDescent="0.25">
      <c r="A1110" s="5">
        <v>2900</v>
      </c>
      <c r="B1110" s="19" t="s">
        <v>556</v>
      </c>
      <c r="C1110" s="19" t="s">
        <v>254</v>
      </c>
      <c r="D1110" s="5" t="s">
        <v>557</v>
      </c>
      <c r="E1110" s="6">
        <v>366824.06296165002</v>
      </c>
      <c r="F1110" s="6">
        <v>6548832.0916764</v>
      </c>
      <c r="G1110" s="7" t="str">
        <f>HYPERLINK("https://minkarta.lantmateriet.se/?e=366824,06296165&amp;n=6548832,0916764&amp;z=12&amp;profile=flygbildmedgranser&amp;background=2&amp;boundaries=true","Visa")</f>
        <v>Visa</v>
      </c>
      <c r="H1110" s="5" t="s">
        <v>11</v>
      </c>
      <c r="I1110" s="8">
        <v>50.967320000000001</v>
      </c>
      <c r="J1110" s="9">
        <v>70.602800000000002</v>
      </c>
      <c r="K1110" s="9">
        <v>70.602800000000002</v>
      </c>
      <c r="L1110" s="14">
        <v>51.817680000000003</v>
      </c>
      <c r="M1110" s="9">
        <v>70.602800000000002</v>
      </c>
      <c r="N1110" s="9">
        <v>70.602800000000002</v>
      </c>
      <c r="O1110" s="14">
        <v>52.084809999999997</v>
      </c>
      <c r="P1110" s="9">
        <v>70.602800000000002</v>
      </c>
      <c r="Q1110" s="9">
        <v>70.602800000000002</v>
      </c>
      <c r="R1110" s="23">
        <v>35.859310000000001</v>
      </c>
      <c r="S1110" s="8">
        <v>0.26712999999999998</v>
      </c>
      <c r="T1110" s="9">
        <v>0</v>
      </c>
      <c r="U1110" s="24">
        <v>0</v>
      </c>
    </row>
    <row r="1111" spans="1:21" ht="12" customHeight="1" x14ac:dyDescent="0.25">
      <c r="A1111" s="5">
        <v>2901</v>
      </c>
      <c r="B1111" s="19" t="s">
        <v>558</v>
      </c>
      <c r="C1111" s="19" t="s">
        <v>254</v>
      </c>
      <c r="D1111" s="5" t="s">
        <v>559</v>
      </c>
      <c r="E1111" s="6">
        <v>366837.27294629999</v>
      </c>
      <c r="F1111" s="6">
        <v>6548833.6021865997</v>
      </c>
      <c r="G1111" s="7" t="str">
        <f>HYPERLINK("https://minkarta.lantmateriet.se/?e=366837,2729463&amp;n=6548833,6021866&amp;z=12&amp;profile=flygbildmedgranser&amp;background=2&amp;boundaries=true","Visa")</f>
        <v>Visa</v>
      </c>
      <c r="H1111" s="5" t="s">
        <v>11</v>
      </c>
      <c r="I1111" s="8">
        <v>48.649349999999998</v>
      </c>
      <c r="J1111" s="9">
        <v>65.202010000000001</v>
      </c>
      <c r="K1111" s="9">
        <v>65.202010000000001</v>
      </c>
      <c r="L1111" s="14">
        <v>49.537439999999997</v>
      </c>
      <c r="M1111" s="9">
        <v>65.202010000000001</v>
      </c>
      <c r="N1111" s="9">
        <v>65.202010000000001</v>
      </c>
      <c r="O1111" s="14">
        <v>49.726799999999997</v>
      </c>
      <c r="P1111" s="9">
        <v>65.202010000000001</v>
      </c>
      <c r="Q1111" s="9">
        <v>65.202010000000001</v>
      </c>
      <c r="R1111" s="23">
        <v>35.463270000000001</v>
      </c>
      <c r="S1111" s="8">
        <v>0.18936</v>
      </c>
      <c r="T1111" s="9">
        <v>0</v>
      </c>
      <c r="U1111" s="24">
        <v>0</v>
      </c>
    </row>
    <row r="1112" spans="1:21" ht="12" customHeight="1" x14ac:dyDescent="0.25">
      <c r="A1112" s="5">
        <v>2902</v>
      </c>
      <c r="B1112" s="19" t="s">
        <v>558</v>
      </c>
      <c r="C1112" s="19" t="s">
        <v>254</v>
      </c>
      <c r="D1112" s="5" t="s">
        <v>559</v>
      </c>
      <c r="E1112" s="6">
        <v>366844.20431668998</v>
      </c>
      <c r="F1112" s="6">
        <v>6548836.6769478004</v>
      </c>
      <c r="G1112" s="7" t="str">
        <f>HYPERLINK("https://minkarta.lantmateriet.se/?e=366844,20431669&amp;n=6548836,6769478&amp;z=12&amp;profile=flygbildmedgranser&amp;background=2&amp;boundaries=true","Visa")</f>
        <v>Visa</v>
      </c>
      <c r="H1112" s="5" t="s">
        <v>8</v>
      </c>
      <c r="I1112" s="8">
        <v>44.376779999999997</v>
      </c>
      <c r="J1112" s="9">
        <v>55.236739999999998</v>
      </c>
      <c r="K1112" s="9">
        <v>55.236739999999998</v>
      </c>
      <c r="L1112" s="14">
        <v>45.284610000000001</v>
      </c>
      <c r="M1112" s="9">
        <v>55.236739999999998</v>
      </c>
      <c r="N1112" s="9">
        <v>55.236739999999998</v>
      </c>
      <c r="O1112" s="14">
        <v>45.52319</v>
      </c>
      <c r="P1112" s="9">
        <v>55.236739999999998</v>
      </c>
      <c r="Q1112" s="9">
        <v>55.236739999999998</v>
      </c>
      <c r="R1112" s="23">
        <v>38.859769999999997</v>
      </c>
      <c r="S1112" s="8">
        <v>0.23857999999999999</v>
      </c>
      <c r="T1112" s="9">
        <v>0</v>
      </c>
      <c r="U1112" s="24">
        <v>0</v>
      </c>
    </row>
    <row r="1113" spans="1:21" ht="12" customHeight="1" x14ac:dyDescent="0.25">
      <c r="A1113" s="5">
        <v>2903</v>
      </c>
      <c r="B1113" s="19" t="s">
        <v>558</v>
      </c>
      <c r="C1113" s="19" t="s">
        <v>254</v>
      </c>
      <c r="D1113" s="5" t="s">
        <v>559</v>
      </c>
      <c r="E1113" s="6">
        <v>366840.49755592999</v>
      </c>
      <c r="F1113" s="6">
        <v>6548846.8583172001</v>
      </c>
      <c r="G1113" s="7" t="str">
        <f>HYPERLINK("https://minkarta.lantmateriet.se/?e=366840,49755593&amp;n=6548846,8583172&amp;z=12&amp;profile=flygbildmedgranser&amp;background=2&amp;boundaries=true","Visa")</f>
        <v>Visa</v>
      </c>
      <c r="H1113" s="5" t="s">
        <v>9</v>
      </c>
      <c r="I1113" s="8">
        <v>49.720019999999998</v>
      </c>
      <c r="J1113" s="9">
        <v>66.966610000000003</v>
      </c>
      <c r="K1113" s="9">
        <v>66.966610000000003</v>
      </c>
      <c r="L1113" s="14">
        <v>50.618000000000002</v>
      </c>
      <c r="M1113" s="9">
        <v>66.966610000000003</v>
      </c>
      <c r="N1113" s="9">
        <v>66.966610000000003</v>
      </c>
      <c r="O1113" s="14">
        <v>50.813200000000002</v>
      </c>
      <c r="P1113" s="9">
        <v>66.966610000000003</v>
      </c>
      <c r="Q1113" s="9">
        <v>66.966610000000003</v>
      </c>
      <c r="R1113" s="23">
        <v>29.046700000000001</v>
      </c>
      <c r="S1113" s="8">
        <v>0.19520000000000001</v>
      </c>
      <c r="T1113" s="9">
        <v>0</v>
      </c>
      <c r="U1113" s="24">
        <v>0</v>
      </c>
    </row>
    <row r="1114" spans="1:21" ht="12" customHeight="1" x14ac:dyDescent="0.25">
      <c r="A1114" s="5">
        <v>2904</v>
      </c>
      <c r="B1114" s="19" t="s">
        <v>558</v>
      </c>
      <c r="C1114" s="19" t="s">
        <v>254</v>
      </c>
      <c r="D1114" s="5" t="s">
        <v>559</v>
      </c>
      <c r="E1114" s="6">
        <v>366832.07918757998</v>
      </c>
      <c r="F1114" s="6">
        <v>6548849.9870595997</v>
      </c>
      <c r="G1114" s="7" t="str">
        <f>HYPERLINK("https://minkarta.lantmateriet.se/?e=366832,07918758&amp;n=6548849,9870596&amp;z=12&amp;profile=flygbildmedgranser&amp;background=2&amp;boundaries=true","Visa")</f>
        <v>Visa</v>
      </c>
      <c r="H1114" s="5" t="s">
        <v>10</v>
      </c>
      <c r="I1114" s="8">
        <v>53.455979999999997</v>
      </c>
      <c r="J1114" s="9">
        <v>71.045810000000003</v>
      </c>
      <c r="K1114" s="9">
        <v>71.045810000000003</v>
      </c>
      <c r="L1114" s="14">
        <v>54.329700000000003</v>
      </c>
      <c r="M1114" s="9">
        <v>71.045810000000003</v>
      </c>
      <c r="N1114" s="9">
        <v>71.045810000000003</v>
      </c>
      <c r="O1114" s="14">
        <v>54.600079999999998</v>
      </c>
      <c r="P1114" s="9">
        <v>71.045810000000003</v>
      </c>
      <c r="Q1114" s="9">
        <v>71.045810000000003</v>
      </c>
      <c r="R1114" s="23">
        <v>29.383459999999999</v>
      </c>
      <c r="S1114" s="8">
        <v>0.27038000000000001</v>
      </c>
      <c r="T1114" s="9">
        <v>0</v>
      </c>
      <c r="U1114" s="24">
        <v>0</v>
      </c>
    </row>
    <row r="1115" spans="1:21" ht="12" customHeight="1" x14ac:dyDescent="0.25">
      <c r="A1115" s="5">
        <v>2905</v>
      </c>
      <c r="B1115" s="19" t="s">
        <v>558</v>
      </c>
      <c r="C1115" s="19" t="s">
        <v>254</v>
      </c>
      <c r="D1115" s="5" t="s">
        <v>559</v>
      </c>
      <c r="E1115" s="6">
        <v>366834.82794612</v>
      </c>
      <c r="F1115" s="6">
        <v>6548845.6556868004</v>
      </c>
      <c r="G1115" s="7" t="str">
        <f>HYPERLINK("https://minkarta.lantmateriet.se/?e=366834,82794612&amp;n=6548845,6556868&amp;z=12&amp;profile=flygbildmedgranser&amp;background=2&amp;boundaries=true","Visa")</f>
        <v>Visa</v>
      </c>
      <c r="H1115" s="5" t="s">
        <v>11</v>
      </c>
      <c r="I1115" s="8">
        <v>50.676139999999997</v>
      </c>
      <c r="J1115" s="9">
        <v>69.288529999999994</v>
      </c>
      <c r="K1115" s="9">
        <v>69.288529999999994</v>
      </c>
      <c r="L1115" s="14">
        <v>51.541989999999998</v>
      </c>
      <c r="M1115" s="9">
        <v>69.288529999999994</v>
      </c>
      <c r="N1115" s="9">
        <v>69.288529999999994</v>
      </c>
      <c r="O1115" s="14">
        <v>51.792560000000002</v>
      </c>
      <c r="P1115" s="9">
        <v>69.288529999999994</v>
      </c>
      <c r="Q1115" s="9">
        <v>69.288529999999994</v>
      </c>
      <c r="R1115" s="23">
        <v>37.038020000000003</v>
      </c>
      <c r="S1115" s="8">
        <v>0.25057000000000001</v>
      </c>
      <c r="T1115" s="9">
        <v>0</v>
      </c>
      <c r="U1115" s="24">
        <v>0</v>
      </c>
    </row>
    <row r="1116" spans="1:21" ht="12" customHeight="1" x14ac:dyDescent="0.25">
      <c r="A1116" s="5">
        <v>2906</v>
      </c>
      <c r="B1116" s="19" t="s">
        <v>558</v>
      </c>
      <c r="C1116" s="19" t="s">
        <v>254</v>
      </c>
      <c r="D1116" s="5" t="s">
        <v>559</v>
      </c>
      <c r="E1116" s="6">
        <v>366836.31218564999</v>
      </c>
      <c r="F1116" s="6">
        <v>6548839.4660566999</v>
      </c>
      <c r="G1116" s="7" t="str">
        <f>HYPERLINK("https://minkarta.lantmateriet.se/?e=366836,31218565&amp;n=6548839,4660567&amp;z=12&amp;profile=flygbildmedgranser&amp;background=2&amp;boundaries=true","Visa")</f>
        <v>Visa</v>
      </c>
      <c r="H1116" s="5" t="s">
        <v>10</v>
      </c>
      <c r="I1116" s="8">
        <v>51.239400000000003</v>
      </c>
      <c r="J1116" s="9">
        <v>68.175190000000001</v>
      </c>
      <c r="K1116" s="9">
        <v>68.175190000000001</v>
      </c>
      <c r="L1116" s="14">
        <v>52.116770000000002</v>
      </c>
      <c r="M1116" s="9">
        <v>68.175190000000001</v>
      </c>
      <c r="N1116" s="9">
        <v>68.175190000000001</v>
      </c>
      <c r="O1116" s="14">
        <v>52.33961</v>
      </c>
      <c r="P1116" s="9">
        <v>68.175190000000001</v>
      </c>
      <c r="Q1116" s="9">
        <v>68.175190000000001</v>
      </c>
      <c r="R1116" s="23">
        <v>28.116240000000001</v>
      </c>
      <c r="S1116" s="8">
        <v>0.22284000000000001</v>
      </c>
      <c r="T1116" s="9">
        <v>0</v>
      </c>
      <c r="U1116" s="24">
        <v>0</v>
      </c>
    </row>
    <row r="1117" spans="1:21" ht="12" customHeight="1" x14ac:dyDescent="0.25">
      <c r="A1117" s="5">
        <v>2907</v>
      </c>
      <c r="B1117" s="19" t="s">
        <v>560</v>
      </c>
      <c r="C1117" s="19" t="s">
        <v>254</v>
      </c>
      <c r="D1117" s="5" t="s">
        <v>561</v>
      </c>
      <c r="E1117" s="6">
        <v>366853.77180064999</v>
      </c>
      <c r="F1117" s="6">
        <v>6548851.0434237998</v>
      </c>
      <c r="G1117" s="7" t="str">
        <f>HYPERLINK("https://minkarta.lantmateriet.se/?e=366853,77180065&amp;n=6548851,0434238&amp;z=12&amp;profile=flygbildmedgranser&amp;background=2&amp;boundaries=true","Visa")</f>
        <v>Visa</v>
      </c>
      <c r="H1117" s="5" t="s">
        <v>8</v>
      </c>
      <c r="I1117" s="8">
        <v>43.728879999999997</v>
      </c>
      <c r="J1117" s="9">
        <v>54.505809999999997</v>
      </c>
      <c r="K1117" s="9">
        <v>54.505809999999997</v>
      </c>
      <c r="L1117" s="14">
        <v>44.634369999999997</v>
      </c>
      <c r="M1117" s="9">
        <v>54.505809999999997</v>
      </c>
      <c r="N1117" s="9">
        <v>54.505809999999997</v>
      </c>
      <c r="O1117" s="14">
        <v>44.81653</v>
      </c>
      <c r="P1117" s="9">
        <v>54.505809999999997</v>
      </c>
      <c r="Q1117" s="9">
        <v>54.505809999999997</v>
      </c>
      <c r="R1117" s="23">
        <v>35.839730000000003</v>
      </c>
      <c r="S1117" s="8">
        <v>0.18215999999999999</v>
      </c>
      <c r="T1117" s="9">
        <v>0</v>
      </c>
      <c r="U1117" s="24">
        <v>0</v>
      </c>
    </row>
    <row r="1118" spans="1:21" ht="12" customHeight="1" x14ac:dyDescent="0.25">
      <c r="A1118" s="5">
        <v>2908</v>
      </c>
      <c r="B1118" s="19" t="s">
        <v>560</v>
      </c>
      <c r="C1118" s="19" t="s">
        <v>254</v>
      </c>
      <c r="D1118" s="5" t="s">
        <v>561</v>
      </c>
      <c r="E1118" s="6">
        <v>366850.08707900002</v>
      </c>
      <c r="F1118" s="6">
        <v>6548861.2418018002</v>
      </c>
      <c r="G1118" s="7" t="str">
        <f>HYPERLINK("https://minkarta.lantmateriet.se/?e=366850,087079&amp;n=6548861,2418018&amp;z=12&amp;profile=flygbildmedgranser&amp;background=2&amp;boundaries=true","Visa")</f>
        <v>Visa</v>
      </c>
      <c r="H1118" s="5" t="s">
        <v>9</v>
      </c>
      <c r="I1118" s="8">
        <v>50.427579999999999</v>
      </c>
      <c r="J1118" s="9">
        <v>66.993489999999994</v>
      </c>
      <c r="K1118" s="9">
        <v>66.993489999999994</v>
      </c>
      <c r="L1118" s="14">
        <v>51.330910000000003</v>
      </c>
      <c r="M1118" s="9">
        <v>66.993489999999994</v>
      </c>
      <c r="N1118" s="9">
        <v>66.993489999999994</v>
      </c>
      <c r="O1118" s="14">
        <v>51.50629</v>
      </c>
      <c r="P1118" s="9">
        <v>66.993489999999994</v>
      </c>
      <c r="Q1118" s="9">
        <v>66.993489999999994</v>
      </c>
      <c r="R1118" s="23">
        <v>29.87978</v>
      </c>
      <c r="S1118" s="8">
        <v>0.17538000000000001</v>
      </c>
      <c r="T1118" s="9">
        <v>0</v>
      </c>
      <c r="U1118" s="24">
        <v>0</v>
      </c>
    </row>
    <row r="1119" spans="1:21" ht="12" customHeight="1" x14ac:dyDescent="0.25">
      <c r="A1119" s="5">
        <v>2909</v>
      </c>
      <c r="B1119" s="19" t="s">
        <v>560</v>
      </c>
      <c r="C1119" s="19" t="s">
        <v>254</v>
      </c>
      <c r="D1119" s="5" t="s">
        <v>561</v>
      </c>
      <c r="E1119" s="6">
        <v>366841.67320185999</v>
      </c>
      <c r="F1119" s="6">
        <v>6548864.4040809004</v>
      </c>
      <c r="G1119" s="7" t="str">
        <f>HYPERLINK("https://minkarta.lantmateriet.se/?e=366841,67320186&amp;n=6548864,4040809&amp;z=12&amp;profile=flygbildmedgranser&amp;background=2&amp;boundaries=true","Visa")</f>
        <v>Visa</v>
      </c>
      <c r="H1119" s="5" t="s">
        <v>10</v>
      </c>
      <c r="I1119" s="8">
        <v>54.207529999999998</v>
      </c>
      <c r="J1119" s="9">
        <v>71.091710000000006</v>
      </c>
      <c r="K1119" s="9">
        <v>71.091710000000006</v>
      </c>
      <c r="L1119" s="14">
        <v>55.092930000000003</v>
      </c>
      <c r="M1119" s="9">
        <v>71.091710000000006</v>
      </c>
      <c r="N1119" s="9">
        <v>71.091710000000006</v>
      </c>
      <c r="O1119" s="14">
        <v>55.354050000000001</v>
      </c>
      <c r="P1119" s="9">
        <v>71.091710000000006</v>
      </c>
      <c r="Q1119" s="9">
        <v>71.091710000000006</v>
      </c>
      <c r="R1119" s="23">
        <v>28.553730000000002</v>
      </c>
      <c r="S1119" s="8">
        <v>0.26112000000000002</v>
      </c>
      <c r="T1119" s="9">
        <v>0</v>
      </c>
      <c r="U1119" s="24">
        <v>0</v>
      </c>
    </row>
    <row r="1120" spans="1:21" ht="12" customHeight="1" x14ac:dyDescent="0.25">
      <c r="A1120" s="5">
        <v>2910</v>
      </c>
      <c r="B1120" s="19" t="s">
        <v>560</v>
      </c>
      <c r="C1120" s="19" t="s">
        <v>254</v>
      </c>
      <c r="D1120" s="5" t="s">
        <v>561</v>
      </c>
      <c r="E1120" s="6">
        <v>366844.43392217002</v>
      </c>
      <c r="F1120" s="6">
        <v>6548860.0557027999</v>
      </c>
      <c r="G1120" s="7" t="str">
        <f>HYPERLINK("https://minkarta.lantmateriet.se/?e=366844,43392217&amp;n=6548860,0557028&amp;z=12&amp;profile=flygbildmedgranser&amp;background=2&amp;boundaries=true","Visa")</f>
        <v>Visa</v>
      </c>
      <c r="H1120" s="5" t="s">
        <v>11</v>
      </c>
      <c r="I1120" s="8">
        <v>51.00356</v>
      </c>
      <c r="J1120" s="9">
        <v>69.90849</v>
      </c>
      <c r="K1120" s="9">
        <v>69.90849</v>
      </c>
      <c r="L1120" s="14">
        <v>51.879269999999998</v>
      </c>
      <c r="M1120" s="9">
        <v>69.90849</v>
      </c>
      <c r="N1120" s="9">
        <v>69.90849</v>
      </c>
      <c r="O1120" s="14">
        <v>52.154269999999997</v>
      </c>
      <c r="P1120" s="9">
        <v>69.90849</v>
      </c>
      <c r="Q1120" s="9">
        <v>69.90849</v>
      </c>
      <c r="R1120" s="23">
        <v>35.828319999999998</v>
      </c>
      <c r="S1120" s="8">
        <v>0.27500000000000002</v>
      </c>
      <c r="T1120" s="9">
        <v>0</v>
      </c>
      <c r="U1120" s="24">
        <v>0</v>
      </c>
    </row>
    <row r="1121" spans="1:21" ht="12" customHeight="1" x14ac:dyDescent="0.25">
      <c r="A1121" s="5">
        <v>2911</v>
      </c>
      <c r="B1121" s="19" t="s">
        <v>560</v>
      </c>
      <c r="C1121" s="19" t="s">
        <v>254</v>
      </c>
      <c r="D1121" s="5" t="s">
        <v>561</v>
      </c>
      <c r="E1121" s="6">
        <v>366845.91670146998</v>
      </c>
      <c r="F1121" s="6">
        <v>6548853.8415802997</v>
      </c>
      <c r="G1121" s="7" t="str">
        <f>HYPERLINK("https://minkarta.lantmateriet.se/?e=366845,91670147&amp;n=6548853,8415803&amp;z=12&amp;profile=flygbildmedgranser&amp;background=2&amp;boundaries=true","Visa")</f>
        <v>Visa</v>
      </c>
      <c r="H1121" s="5" t="s">
        <v>10</v>
      </c>
      <c r="I1121" s="8">
        <v>51.68356</v>
      </c>
      <c r="J1121" s="9">
        <v>68.164119999999997</v>
      </c>
      <c r="K1121" s="9">
        <v>68.164119999999997</v>
      </c>
      <c r="L1121" s="14">
        <v>52.571260000000002</v>
      </c>
      <c r="M1121" s="9">
        <v>68.164119999999997</v>
      </c>
      <c r="N1121" s="9">
        <v>68.164119999999997</v>
      </c>
      <c r="O1121" s="14">
        <v>52.789000000000001</v>
      </c>
      <c r="P1121" s="9">
        <v>68.164119999999997</v>
      </c>
      <c r="Q1121" s="9">
        <v>68.164119999999997</v>
      </c>
      <c r="R1121" s="23">
        <v>27.49409</v>
      </c>
      <c r="S1121" s="8">
        <v>0.21773999999999999</v>
      </c>
      <c r="T1121" s="9">
        <v>0</v>
      </c>
      <c r="U1121" s="24">
        <v>0</v>
      </c>
    </row>
    <row r="1122" spans="1:21" ht="12" customHeight="1" x14ac:dyDescent="0.25">
      <c r="A1122" s="5">
        <v>2912</v>
      </c>
      <c r="B1122" s="19" t="s">
        <v>560</v>
      </c>
      <c r="C1122" s="19" t="s">
        <v>254</v>
      </c>
      <c r="D1122" s="5" t="s">
        <v>561</v>
      </c>
      <c r="E1122" s="6">
        <v>366846.84342311998</v>
      </c>
      <c r="F1122" s="6">
        <v>6548847.9777022004</v>
      </c>
      <c r="G1122" s="7" t="str">
        <f>HYPERLINK("https://minkarta.lantmateriet.se/?e=366846,84342312&amp;n=6548847,9777022&amp;z=12&amp;profile=flygbildmedgranser&amp;background=2&amp;boundaries=true","Visa")</f>
        <v>Visa</v>
      </c>
      <c r="H1122" s="5" t="s">
        <v>11</v>
      </c>
      <c r="I1122" s="8">
        <v>49.392679999999999</v>
      </c>
      <c r="J1122" s="9">
        <v>65.504819999999995</v>
      </c>
      <c r="K1122" s="9">
        <v>65.504819999999995</v>
      </c>
      <c r="L1122" s="14">
        <v>50.292729999999999</v>
      </c>
      <c r="M1122" s="9">
        <v>65.504819999999995</v>
      </c>
      <c r="N1122" s="9">
        <v>65.504819999999995</v>
      </c>
      <c r="O1122" s="14">
        <v>50.48733</v>
      </c>
      <c r="P1122" s="9">
        <v>65.504819999999995</v>
      </c>
      <c r="Q1122" s="9">
        <v>65.504819999999995</v>
      </c>
      <c r="R1122" s="23">
        <v>34.752420000000001</v>
      </c>
      <c r="S1122" s="8">
        <v>0.1946</v>
      </c>
      <c r="T1122" s="9">
        <v>0</v>
      </c>
      <c r="U1122" s="24">
        <v>0</v>
      </c>
    </row>
    <row r="1123" spans="1:21" ht="12" customHeight="1" x14ac:dyDescent="0.25">
      <c r="A1123" s="5">
        <v>2913</v>
      </c>
      <c r="B1123" s="19" t="s">
        <v>562</v>
      </c>
      <c r="C1123" s="19" t="s">
        <v>254</v>
      </c>
      <c r="D1123" s="5" t="s">
        <v>563</v>
      </c>
      <c r="E1123" s="6">
        <v>366854.23619955999</v>
      </c>
      <c r="F1123" s="6">
        <v>6548868.9290774995</v>
      </c>
      <c r="G1123" s="7" t="str">
        <f>HYPERLINK("https://minkarta.lantmateriet.se/?e=366854,23619956&amp;n=6548868,9290775&amp;z=12&amp;profile=flygbildmedgranser&amp;background=2&amp;boundaries=true","Visa")</f>
        <v>Visa</v>
      </c>
      <c r="H1123" s="5" t="s">
        <v>10</v>
      </c>
      <c r="I1123" s="8">
        <v>52.503079999999997</v>
      </c>
      <c r="J1123" s="9">
        <v>68.997119999999995</v>
      </c>
      <c r="K1123" s="9">
        <v>68.997119999999995</v>
      </c>
      <c r="L1123" s="14">
        <v>53.398850000000003</v>
      </c>
      <c r="M1123" s="9">
        <v>68.997119999999995</v>
      </c>
      <c r="N1123" s="9">
        <v>68.997119999999995</v>
      </c>
      <c r="O1123" s="14">
        <v>53.616599999999998</v>
      </c>
      <c r="P1123" s="9">
        <v>68.997119999999995</v>
      </c>
      <c r="Q1123" s="9">
        <v>68.997119999999995</v>
      </c>
      <c r="R1123" s="23">
        <v>27.663419999999999</v>
      </c>
      <c r="S1123" s="8">
        <v>0.21775</v>
      </c>
      <c r="T1123" s="9">
        <v>0</v>
      </c>
      <c r="U1123" s="24">
        <v>0</v>
      </c>
    </row>
    <row r="1124" spans="1:21" ht="12" customHeight="1" x14ac:dyDescent="0.25">
      <c r="A1124" s="5">
        <v>2914</v>
      </c>
      <c r="B1124" s="19" t="s">
        <v>562</v>
      </c>
      <c r="C1124" s="19" t="s">
        <v>254</v>
      </c>
      <c r="D1124" s="5" t="s">
        <v>563</v>
      </c>
      <c r="E1124" s="6">
        <v>366855.15992558998</v>
      </c>
      <c r="F1124" s="6">
        <v>6548863.0822005002</v>
      </c>
      <c r="G1124" s="7" t="str">
        <f>HYPERLINK("https://minkarta.lantmateriet.se/?e=366855,15992559&amp;n=6548863,0822005&amp;z=12&amp;profile=flygbildmedgranser&amp;background=2&amp;boundaries=true","Visa")</f>
        <v>Visa</v>
      </c>
      <c r="H1124" s="5" t="s">
        <v>11</v>
      </c>
      <c r="I1124" s="8">
        <v>49.775390000000002</v>
      </c>
      <c r="J1124" s="9">
        <v>66.022840000000002</v>
      </c>
      <c r="K1124" s="9">
        <v>66.022840000000002</v>
      </c>
      <c r="L1124" s="14">
        <v>50.678150000000002</v>
      </c>
      <c r="M1124" s="9">
        <v>66.022840000000002</v>
      </c>
      <c r="N1124" s="9">
        <v>66.022840000000002</v>
      </c>
      <c r="O1124" s="14">
        <v>50.857439999999997</v>
      </c>
      <c r="P1124" s="9">
        <v>66.022840000000002</v>
      </c>
      <c r="Q1124" s="9">
        <v>66.022840000000002</v>
      </c>
      <c r="R1124" s="23">
        <v>30.929829999999999</v>
      </c>
      <c r="S1124" s="8">
        <v>0.17929</v>
      </c>
      <c r="T1124" s="9">
        <v>0</v>
      </c>
      <c r="U1124" s="24">
        <v>0</v>
      </c>
    </row>
    <row r="1125" spans="1:21" ht="12" customHeight="1" x14ac:dyDescent="0.25">
      <c r="A1125" s="5">
        <v>2915</v>
      </c>
      <c r="B1125" s="19" t="s">
        <v>562</v>
      </c>
      <c r="C1125" s="19" t="s">
        <v>254</v>
      </c>
      <c r="D1125" s="5" t="s">
        <v>563</v>
      </c>
      <c r="E1125" s="6">
        <v>366862.09830210003</v>
      </c>
      <c r="F1125" s="6">
        <v>6548866.1899260003</v>
      </c>
      <c r="G1125" s="7" t="str">
        <f>HYPERLINK("https://minkarta.lantmateriet.se/?e=366862,0983021&amp;n=6548866,189926&amp;z=12&amp;profile=flygbildmedgranser&amp;background=2&amp;boundaries=true","Visa")</f>
        <v>Visa</v>
      </c>
      <c r="H1125" s="5" t="s">
        <v>8</v>
      </c>
      <c r="I1125" s="8">
        <v>43.449950000000001</v>
      </c>
      <c r="J1125" s="9">
        <v>50.665300000000002</v>
      </c>
      <c r="K1125" s="9">
        <v>50.665300000000002</v>
      </c>
      <c r="L1125" s="14">
        <v>44.362360000000002</v>
      </c>
      <c r="M1125" s="9">
        <v>50.665300000000002</v>
      </c>
      <c r="N1125" s="9">
        <v>50.665300000000002</v>
      </c>
      <c r="O1125" s="14">
        <v>44.542679999999997</v>
      </c>
      <c r="P1125" s="9">
        <v>50.665300000000002</v>
      </c>
      <c r="Q1125" s="9">
        <v>50.665300000000002</v>
      </c>
      <c r="R1125" s="23">
        <v>35.434370000000001</v>
      </c>
      <c r="S1125" s="8">
        <v>0.18032000000000001</v>
      </c>
      <c r="T1125" s="9">
        <v>0</v>
      </c>
      <c r="U1125" s="24">
        <v>0</v>
      </c>
    </row>
    <row r="1126" spans="1:21" ht="12" customHeight="1" x14ac:dyDescent="0.25">
      <c r="A1126" s="5">
        <v>2916</v>
      </c>
      <c r="B1126" s="19" t="s">
        <v>562</v>
      </c>
      <c r="C1126" s="19" t="s">
        <v>254</v>
      </c>
      <c r="D1126" s="5" t="s">
        <v>563</v>
      </c>
      <c r="E1126" s="6">
        <v>366858.47657746001</v>
      </c>
      <c r="F1126" s="6">
        <v>6548876.3913027998</v>
      </c>
      <c r="G1126" s="7" t="str">
        <f>HYPERLINK("https://minkarta.lantmateriet.se/?e=366858,47657746&amp;n=6548876,3913028&amp;z=12&amp;profile=flygbildmedgranser&amp;background=2&amp;boundaries=true","Visa")</f>
        <v>Visa</v>
      </c>
      <c r="H1126" s="5" t="s">
        <v>9</v>
      </c>
      <c r="I1126" s="8">
        <v>51.016179999999999</v>
      </c>
      <c r="J1126" s="9">
        <v>67.786940000000001</v>
      </c>
      <c r="K1126" s="9">
        <v>67.786940000000001</v>
      </c>
      <c r="L1126" s="14">
        <v>51.922600000000003</v>
      </c>
      <c r="M1126" s="9">
        <v>67.786940000000001</v>
      </c>
      <c r="N1126" s="9">
        <v>67.786940000000001</v>
      </c>
      <c r="O1126" s="14">
        <v>52.103960000000001</v>
      </c>
      <c r="P1126" s="9">
        <v>67.786940000000001</v>
      </c>
      <c r="Q1126" s="9">
        <v>67.786940000000001</v>
      </c>
      <c r="R1126" s="23">
        <v>26.106369999999998</v>
      </c>
      <c r="S1126" s="8">
        <v>0.18135999999999999</v>
      </c>
      <c r="T1126" s="9">
        <v>0</v>
      </c>
      <c r="U1126" s="24">
        <v>0</v>
      </c>
    </row>
    <row r="1127" spans="1:21" ht="12" customHeight="1" x14ac:dyDescent="0.25">
      <c r="A1127" s="5">
        <v>2917</v>
      </c>
      <c r="B1127" s="19" t="s">
        <v>562</v>
      </c>
      <c r="C1127" s="19" t="s">
        <v>254</v>
      </c>
      <c r="D1127" s="5" t="s">
        <v>563</v>
      </c>
      <c r="E1127" s="6">
        <v>366850.07670097001</v>
      </c>
      <c r="F1127" s="6">
        <v>6548879.4800795997</v>
      </c>
      <c r="G1127" s="7" t="str">
        <f>HYPERLINK("https://minkarta.lantmateriet.se/?e=366850,07670097&amp;n=6548879,4800796&amp;z=12&amp;profile=flygbildmedgranser&amp;background=2&amp;boundaries=true","Visa")</f>
        <v>Visa</v>
      </c>
      <c r="H1127" s="5" t="s">
        <v>10</v>
      </c>
      <c r="I1127" s="8">
        <v>55.001460000000002</v>
      </c>
      <c r="J1127" s="9">
        <v>71.923360000000002</v>
      </c>
      <c r="K1127" s="9">
        <v>71.923360000000002</v>
      </c>
      <c r="L1127" s="14">
        <v>55.894759999999998</v>
      </c>
      <c r="M1127" s="9">
        <v>71.923360000000002</v>
      </c>
      <c r="N1127" s="9">
        <v>71.923360000000002</v>
      </c>
      <c r="O1127" s="14">
        <v>56.138370000000002</v>
      </c>
      <c r="P1127" s="9">
        <v>71.923360000000002</v>
      </c>
      <c r="Q1127" s="9">
        <v>71.923360000000002</v>
      </c>
      <c r="R1127" s="23">
        <v>28.398340000000001</v>
      </c>
      <c r="S1127" s="8">
        <v>0.24360999999999999</v>
      </c>
      <c r="T1127" s="9">
        <v>0</v>
      </c>
      <c r="U1127" s="24">
        <v>0</v>
      </c>
    </row>
    <row r="1128" spans="1:21" ht="12" customHeight="1" x14ac:dyDescent="0.25">
      <c r="A1128" s="5">
        <v>2918</v>
      </c>
      <c r="B1128" s="19" t="s">
        <v>562</v>
      </c>
      <c r="C1128" s="19" t="s">
        <v>254</v>
      </c>
      <c r="D1128" s="5" t="s">
        <v>563</v>
      </c>
      <c r="E1128" s="6">
        <v>366852.77742487</v>
      </c>
      <c r="F1128" s="6">
        <v>6548875.1117009996</v>
      </c>
      <c r="G1128" s="7" t="str">
        <f>HYPERLINK("https://minkarta.lantmateriet.se/?e=366852,77742487&amp;n=6548875,111701&amp;z=12&amp;profile=flygbildmedgranser&amp;background=2&amp;boundaries=true","Visa")</f>
        <v>Visa</v>
      </c>
      <c r="H1128" s="5" t="s">
        <v>11</v>
      </c>
      <c r="I1128" s="8">
        <v>51.66075</v>
      </c>
      <c r="J1128" s="9">
        <v>70.532039999999995</v>
      </c>
      <c r="K1128" s="9">
        <v>70.532039999999995</v>
      </c>
      <c r="L1128" s="14">
        <v>52.548099999999998</v>
      </c>
      <c r="M1128" s="9">
        <v>70.532039999999995</v>
      </c>
      <c r="N1128" s="9">
        <v>70.532039999999995</v>
      </c>
      <c r="O1128" s="14">
        <v>52.820590000000003</v>
      </c>
      <c r="P1128" s="9">
        <v>70.532039999999995</v>
      </c>
      <c r="Q1128" s="9">
        <v>70.532039999999995</v>
      </c>
      <c r="R1128" s="23">
        <v>34.833849999999998</v>
      </c>
      <c r="S1128" s="8">
        <v>0.27249000000000001</v>
      </c>
      <c r="T1128" s="9">
        <v>0</v>
      </c>
      <c r="U1128" s="24">
        <v>0</v>
      </c>
    </row>
    <row r="1129" spans="1:21" ht="12" customHeight="1" x14ac:dyDescent="0.25">
      <c r="A1129" s="5">
        <v>2919</v>
      </c>
      <c r="B1129" s="19" t="s">
        <v>564</v>
      </c>
      <c r="C1129" s="19" t="s">
        <v>254</v>
      </c>
      <c r="D1129" s="5" t="s">
        <v>565</v>
      </c>
      <c r="E1129" s="6">
        <v>366866.02194648999</v>
      </c>
      <c r="F1129" s="6">
        <v>6548876.6806864999</v>
      </c>
      <c r="G1129" s="7" t="str">
        <f>HYPERLINK("https://minkarta.lantmateriet.se/?e=366866,02194649&amp;n=6548876,6806865&amp;z=12&amp;profile=flygbildmedgranser&amp;background=2&amp;boundaries=true","Visa")</f>
        <v>Visa</v>
      </c>
      <c r="H1129" s="5" t="s">
        <v>11</v>
      </c>
      <c r="I1129" s="8">
        <v>50.144660000000002</v>
      </c>
      <c r="J1129" s="9">
        <v>65.390479999999997</v>
      </c>
      <c r="K1129" s="9">
        <v>65.390479999999997</v>
      </c>
      <c r="L1129" s="14">
        <v>51.039830000000002</v>
      </c>
      <c r="M1129" s="9">
        <v>65.390479999999997</v>
      </c>
      <c r="N1129" s="9">
        <v>65.390479999999997</v>
      </c>
      <c r="O1129" s="14">
        <v>51.226579999999998</v>
      </c>
      <c r="P1129" s="9">
        <v>65.390479999999997</v>
      </c>
      <c r="Q1129" s="9">
        <v>65.390479999999997</v>
      </c>
      <c r="R1129" s="23">
        <v>34.044490000000003</v>
      </c>
      <c r="S1129" s="8">
        <v>0.18675</v>
      </c>
      <c r="T1129" s="9">
        <v>0</v>
      </c>
      <c r="U1129" s="24">
        <v>0</v>
      </c>
    </row>
    <row r="1130" spans="1:21" ht="12" customHeight="1" x14ac:dyDescent="0.25">
      <c r="A1130" s="5">
        <v>2920</v>
      </c>
      <c r="B1130" s="19" t="s">
        <v>564</v>
      </c>
      <c r="C1130" s="19" t="s">
        <v>254</v>
      </c>
      <c r="D1130" s="5" t="s">
        <v>565</v>
      </c>
      <c r="E1130" s="6">
        <v>366872.88231714</v>
      </c>
      <c r="F1130" s="6">
        <v>6548879.7389484998</v>
      </c>
      <c r="G1130" s="7" t="str">
        <f>HYPERLINK("https://minkarta.lantmateriet.se/?e=366872,88231714&amp;n=6548879,7389485&amp;z=12&amp;profile=flygbildmedgranser&amp;background=2&amp;boundaries=true","Visa")</f>
        <v>Visa</v>
      </c>
      <c r="H1130" s="5" t="s">
        <v>8</v>
      </c>
      <c r="I1130" s="8">
        <v>43.951819999999998</v>
      </c>
      <c r="J1130" s="9">
        <v>55.097990000000003</v>
      </c>
      <c r="K1130" s="9">
        <v>56.666739999999997</v>
      </c>
      <c r="L1130" s="14">
        <v>44.863999999999997</v>
      </c>
      <c r="M1130" s="9">
        <v>55.554519999999997</v>
      </c>
      <c r="N1130" s="9">
        <v>57.172240000000002</v>
      </c>
      <c r="O1130" s="14">
        <v>45.028469999999999</v>
      </c>
      <c r="P1130" s="9">
        <v>55.585599999999999</v>
      </c>
      <c r="Q1130" s="9">
        <v>57.201839999999997</v>
      </c>
      <c r="R1130" s="23">
        <v>35.24042</v>
      </c>
      <c r="S1130" s="8">
        <v>0.16447000000000001</v>
      </c>
      <c r="T1130" s="9">
        <v>3.108E-2</v>
      </c>
      <c r="U1130" s="24">
        <v>2.9600000000000001E-2</v>
      </c>
    </row>
    <row r="1131" spans="1:21" ht="12" customHeight="1" x14ac:dyDescent="0.25">
      <c r="A1131" s="5">
        <v>2921</v>
      </c>
      <c r="B1131" s="19" t="s">
        <v>564</v>
      </c>
      <c r="C1131" s="19" t="s">
        <v>254</v>
      </c>
      <c r="D1131" s="5" t="s">
        <v>565</v>
      </c>
      <c r="E1131" s="6">
        <v>366869.17155463999</v>
      </c>
      <c r="F1131" s="6">
        <v>6548889.8573180996</v>
      </c>
      <c r="G1131" s="7" t="str">
        <f>HYPERLINK("https://minkarta.lantmateriet.se/?e=366869,17155464&amp;n=6548889,8573181&amp;z=12&amp;profile=flygbildmedgranser&amp;background=2&amp;boundaries=true","Visa")</f>
        <v>Visa</v>
      </c>
      <c r="H1131" s="5" t="s">
        <v>9</v>
      </c>
      <c r="I1131" s="8">
        <v>50.1571</v>
      </c>
      <c r="J1131" s="9">
        <v>68.77713</v>
      </c>
      <c r="K1131" s="9">
        <v>68.77713</v>
      </c>
      <c r="L1131" s="14">
        <v>51.06456</v>
      </c>
      <c r="M1131" s="9">
        <v>68.77713</v>
      </c>
      <c r="N1131" s="9">
        <v>68.77713</v>
      </c>
      <c r="O1131" s="14">
        <v>51.223199999999999</v>
      </c>
      <c r="P1131" s="9">
        <v>68.77713</v>
      </c>
      <c r="Q1131" s="9">
        <v>68.77713</v>
      </c>
      <c r="R1131" s="23">
        <v>34.085929999999998</v>
      </c>
      <c r="S1131" s="8">
        <v>0.15864</v>
      </c>
      <c r="T1131" s="9">
        <v>0</v>
      </c>
      <c r="U1131" s="24">
        <v>0</v>
      </c>
    </row>
    <row r="1132" spans="1:21" ht="12" customHeight="1" x14ac:dyDescent="0.25">
      <c r="A1132" s="5">
        <v>2922</v>
      </c>
      <c r="B1132" s="19" t="s">
        <v>564</v>
      </c>
      <c r="C1132" s="19" t="s">
        <v>254</v>
      </c>
      <c r="D1132" s="5" t="s">
        <v>565</v>
      </c>
      <c r="E1132" s="6">
        <v>366860.77118456998</v>
      </c>
      <c r="F1132" s="6">
        <v>6548892.9530550996</v>
      </c>
      <c r="G1132" s="7" t="str">
        <f>HYPERLINK("https://minkarta.lantmateriet.se/?e=366860,77118457&amp;n=6548892,9530551&amp;z=12&amp;profile=flygbildmedgranser&amp;background=2&amp;boundaries=true","Visa")</f>
        <v>Visa</v>
      </c>
      <c r="H1132" s="5" t="s">
        <v>10</v>
      </c>
      <c r="I1132" s="8">
        <v>55.143720000000002</v>
      </c>
      <c r="J1132" s="9">
        <v>71.830110000000005</v>
      </c>
      <c r="K1132" s="9">
        <v>71.830110000000005</v>
      </c>
      <c r="L1132" s="14">
        <v>56.042230000000004</v>
      </c>
      <c r="M1132" s="9">
        <v>71.830110000000005</v>
      </c>
      <c r="N1132" s="9">
        <v>71.830110000000005</v>
      </c>
      <c r="O1132" s="14">
        <v>56.267150000000001</v>
      </c>
      <c r="P1132" s="9">
        <v>71.830110000000005</v>
      </c>
      <c r="Q1132" s="9">
        <v>71.830110000000005</v>
      </c>
      <c r="R1132" s="23">
        <v>27.700119999999998</v>
      </c>
      <c r="S1132" s="8">
        <v>0.22492000000000001</v>
      </c>
      <c r="T1132" s="9">
        <v>0</v>
      </c>
      <c r="U1132" s="24">
        <v>0</v>
      </c>
    </row>
    <row r="1133" spans="1:21" ht="12" customHeight="1" x14ac:dyDescent="0.25">
      <c r="A1133" s="5">
        <v>2923</v>
      </c>
      <c r="B1133" s="19" t="s">
        <v>564</v>
      </c>
      <c r="C1133" s="19" t="s">
        <v>254</v>
      </c>
      <c r="D1133" s="5" t="s">
        <v>565</v>
      </c>
      <c r="E1133" s="6">
        <v>366863.52594736998</v>
      </c>
      <c r="F1133" s="6">
        <v>6548888.5991858998</v>
      </c>
      <c r="G1133" s="7" t="str">
        <f>HYPERLINK("https://minkarta.lantmateriet.se/?e=366863,52594737&amp;n=6548888,5991859&amp;z=12&amp;profile=flygbildmedgranser&amp;background=2&amp;boundaries=true","Visa")</f>
        <v>Visa</v>
      </c>
      <c r="H1133" s="5" t="s">
        <v>11</v>
      </c>
      <c r="I1133" s="8">
        <v>52.619149999999998</v>
      </c>
      <c r="J1133" s="9">
        <v>70.490189999999998</v>
      </c>
      <c r="K1133" s="9">
        <v>70.490189999999998</v>
      </c>
      <c r="L1133" s="14">
        <v>53.514049999999997</v>
      </c>
      <c r="M1133" s="9">
        <v>70.490189999999998</v>
      </c>
      <c r="N1133" s="9">
        <v>70.490189999999998</v>
      </c>
      <c r="O1133" s="14">
        <v>53.73348</v>
      </c>
      <c r="P1133" s="9">
        <v>70.490189999999998</v>
      </c>
      <c r="Q1133" s="9">
        <v>70.490189999999998</v>
      </c>
      <c r="R1133" s="23">
        <v>34.627890000000001</v>
      </c>
      <c r="S1133" s="8">
        <v>0.21942999999999999</v>
      </c>
      <c r="T1133" s="9">
        <v>0</v>
      </c>
      <c r="U1133" s="24">
        <v>0</v>
      </c>
    </row>
    <row r="1134" spans="1:21" ht="12" customHeight="1" x14ac:dyDescent="0.25">
      <c r="A1134" s="5">
        <v>2924</v>
      </c>
      <c r="B1134" s="19" t="s">
        <v>564</v>
      </c>
      <c r="C1134" s="19" t="s">
        <v>254</v>
      </c>
      <c r="D1134" s="5" t="s">
        <v>565</v>
      </c>
      <c r="E1134" s="6">
        <v>366865.06318537</v>
      </c>
      <c r="F1134" s="6">
        <v>6548882.4590563001</v>
      </c>
      <c r="G1134" s="7" t="str">
        <f>HYPERLINK("https://minkarta.lantmateriet.se/?e=366865,06318537&amp;n=6548882,4590563&amp;z=12&amp;profile=flygbildmedgranser&amp;background=2&amp;boundaries=true","Visa")</f>
        <v>Visa</v>
      </c>
      <c r="H1134" s="5" t="s">
        <v>10</v>
      </c>
      <c r="I1134" s="8">
        <v>52.749229999999997</v>
      </c>
      <c r="J1134" s="9">
        <v>68.545609999999996</v>
      </c>
      <c r="K1134" s="9">
        <v>68.545609999999996</v>
      </c>
      <c r="L1134" s="14">
        <v>53.651949999999999</v>
      </c>
      <c r="M1134" s="9">
        <v>68.545609999999996</v>
      </c>
      <c r="N1134" s="9">
        <v>68.545609999999996</v>
      </c>
      <c r="O1134" s="14">
        <v>53.846400000000003</v>
      </c>
      <c r="P1134" s="9">
        <v>68.545609999999996</v>
      </c>
      <c r="Q1134" s="9">
        <v>68.545609999999996</v>
      </c>
      <c r="R1134" s="23">
        <v>26.940860000000001</v>
      </c>
      <c r="S1134" s="8">
        <v>0.19445000000000001</v>
      </c>
      <c r="T1134" s="9">
        <v>0</v>
      </c>
      <c r="U1134" s="24">
        <v>0</v>
      </c>
    </row>
    <row r="1135" spans="1:21" ht="12" customHeight="1" x14ac:dyDescent="0.25">
      <c r="A1135" s="5">
        <v>2925</v>
      </c>
      <c r="B1135" s="19" t="s">
        <v>566</v>
      </c>
      <c r="C1135" s="19" t="s">
        <v>254</v>
      </c>
      <c r="D1135" s="5" t="s">
        <v>567</v>
      </c>
      <c r="E1135" s="6">
        <v>366890.51731113001</v>
      </c>
      <c r="F1135" s="6">
        <v>6548868.1594395004</v>
      </c>
      <c r="G1135" s="7" t="str">
        <f>HYPERLINK("https://minkarta.lantmateriet.se/?e=366890,51731113&amp;n=6548868,1594395&amp;z=12&amp;profile=flygbildmedgranser&amp;background=2&amp;boundaries=true","Visa")</f>
        <v>Visa</v>
      </c>
      <c r="H1135" s="5" t="s">
        <v>8</v>
      </c>
      <c r="I1135" s="8">
        <v>43.720779999999998</v>
      </c>
      <c r="J1135" s="9">
        <v>52.97</v>
      </c>
      <c r="K1135" s="9">
        <v>53.825389999999999</v>
      </c>
      <c r="L1135" s="14">
        <v>44.628570000000003</v>
      </c>
      <c r="M1135" s="9">
        <v>52.97</v>
      </c>
      <c r="N1135" s="9">
        <v>54.330889999999997</v>
      </c>
      <c r="O1135" s="14">
        <v>44.891350000000003</v>
      </c>
      <c r="P1135" s="9">
        <v>52.97</v>
      </c>
      <c r="Q1135" s="9">
        <v>54.360500000000002</v>
      </c>
      <c r="R1135" s="23">
        <v>38.448230000000002</v>
      </c>
      <c r="S1135" s="8">
        <v>0.26278000000000001</v>
      </c>
      <c r="T1135" s="9">
        <v>0</v>
      </c>
      <c r="U1135" s="24">
        <v>2.9610000000000001E-2</v>
      </c>
    </row>
    <row r="1136" spans="1:21" ht="12" customHeight="1" x14ac:dyDescent="0.25">
      <c r="A1136" s="5">
        <v>2926</v>
      </c>
      <c r="B1136" s="19" t="s">
        <v>566</v>
      </c>
      <c r="C1136" s="19" t="s">
        <v>254</v>
      </c>
      <c r="D1136" s="5" t="s">
        <v>567</v>
      </c>
      <c r="E1136" s="6">
        <v>366889.83456382999</v>
      </c>
      <c r="F1136" s="6">
        <v>6548874.8828119002</v>
      </c>
      <c r="G1136" s="7" t="str">
        <f>HYPERLINK("https://minkarta.lantmateriet.se/?e=366889,83456383&amp;n=6548874,8828119&amp;z=12&amp;profile=flygbildmedgranser&amp;background=2&amp;boundaries=true","Visa")</f>
        <v>Visa</v>
      </c>
      <c r="H1136" s="5" t="s">
        <v>9</v>
      </c>
      <c r="I1136" s="8">
        <v>45.587339999999998</v>
      </c>
      <c r="J1136" s="9">
        <v>59.87294</v>
      </c>
      <c r="K1136" s="9">
        <v>59.87294</v>
      </c>
      <c r="L1136" s="14">
        <v>46.499899999999997</v>
      </c>
      <c r="M1136" s="9">
        <v>59.87294</v>
      </c>
      <c r="N1136" s="9">
        <v>59.87294</v>
      </c>
      <c r="O1136" s="14">
        <v>46.61562</v>
      </c>
      <c r="P1136" s="9">
        <v>59.87294</v>
      </c>
      <c r="Q1136" s="9">
        <v>59.87294</v>
      </c>
      <c r="R1136" s="23">
        <v>30.804839999999999</v>
      </c>
      <c r="S1136" s="8">
        <v>0.11572</v>
      </c>
      <c r="T1136" s="9">
        <v>0</v>
      </c>
      <c r="U1136" s="24">
        <v>0</v>
      </c>
    </row>
    <row r="1137" spans="1:21" ht="12" customHeight="1" x14ac:dyDescent="0.25">
      <c r="A1137" s="5">
        <v>2927</v>
      </c>
      <c r="B1137" s="19" t="s">
        <v>566</v>
      </c>
      <c r="C1137" s="19" t="s">
        <v>254</v>
      </c>
      <c r="D1137" s="5" t="s">
        <v>567</v>
      </c>
      <c r="E1137" s="6">
        <v>366883.35869086999</v>
      </c>
      <c r="F1137" s="6">
        <v>6548872.9515645001</v>
      </c>
      <c r="G1137" s="7" t="str">
        <f>HYPERLINK("https://minkarta.lantmateriet.se/?e=366883,35869087&amp;n=6548872,9515645&amp;z=12&amp;profile=flygbildmedgranser&amp;background=2&amp;boundaries=true","Visa")</f>
        <v>Visa</v>
      </c>
      <c r="H1137" s="5" t="s">
        <v>10</v>
      </c>
      <c r="I1137" s="8">
        <v>48.021819999999998</v>
      </c>
      <c r="J1137" s="9">
        <v>60.520380000000003</v>
      </c>
      <c r="K1137" s="9">
        <v>60.520380000000003</v>
      </c>
      <c r="L1137" s="14">
        <v>48.929879999999997</v>
      </c>
      <c r="M1137" s="9">
        <v>60.520380000000003</v>
      </c>
      <c r="N1137" s="9">
        <v>60.520380000000003</v>
      </c>
      <c r="O1137" s="14">
        <v>49.052</v>
      </c>
      <c r="P1137" s="9">
        <v>60.520380000000003</v>
      </c>
      <c r="Q1137" s="9">
        <v>60.520380000000003</v>
      </c>
      <c r="R1137" s="23">
        <v>26.86748</v>
      </c>
      <c r="S1137" s="8">
        <v>0.12212000000000001</v>
      </c>
      <c r="T1137" s="9">
        <v>0</v>
      </c>
      <c r="U1137" s="24">
        <v>0</v>
      </c>
    </row>
    <row r="1138" spans="1:21" ht="12" customHeight="1" x14ac:dyDescent="0.25">
      <c r="A1138" s="5">
        <v>2928</v>
      </c>
      <c r="B1138" s="19" t="s">
        <v>566</v>
      </c>
      <c r="C1138" s="19" t="s">
        <v>254</v>
      </c>
      <c r="D1138" s="5" t="s">
        <v>567</v>
      </c>
      <c r="E1138" s="6">
        <v>366884.04143817001</v>
      </c>
      <c r="F1138" s="6">
        <v>6548866.2281921003</v>
      </c>
      <c r="G1138" s="7" t="str">
        <f>HYPERLINK("https://minkarta.lantmateriet.se/?e=366884,04143817&amp;n=6548866,2281921&amp;z=12&amp;profile=flygbildmedgranser&amp;background=2&amp;boundaries=true","Visa")</f>
        <v>Visa</v>
      </c>
      <c r="H1138" s="5" t="s">
        <v>11</v>
      </c>
      <c r="I1138" s="8">
        <v>45.904539999999997</v>
      </c>
      <c r="J1138" s="9">
        <v>58.789749999999998</v>
      </c>
      <c r="K1138" s="9">
        <v>58.789749999999998</v>
      </c>
      <c r="L1138" s="14">
        <v>46.809489999999997</v>
      </c>
      <c r="M1138" s="9">
        <v>58.789749999999998</v>
      </c>
      <c r="N1138" s="9">
        <v>58.789749999999998</v>
      </c>
      <c r="O1138" s="14">
        <v>46.978969999999997</v>
      </c>
      <c r="P1138" s="9">
        <v>58.789749999999998</v>
      </c>
      <c r="Q1138" s="9">
        <v>58.789749999999998</v>
      </c>
      <c r="R1138" s="23">
        <v>36.454329999999999</v>
      </c>
      <c r="S1138" s="8">
        <v>0.16947999999999999</v>
      </c>
      <c r="T1138" s="9">
        <v>0</v>
      </c>
      <c r="U1138" s="24">
        <v>0</v>
      </c>
    </row>
    <row r="1139" spans="1:21" ht="12" customHeight="1" x14ac:dyDescent="0.25">
      <c r="A1139" s="5">
        <v>2929</v>
      </c>
      <c r="B1139" s="19" t="s">
        <v>568</v>
      </c>
      <c r="C1139" s="19" t="s">
        <v>254</v>
      </c>
      <c r="D1139" s="5" t="s">
        <v>569</v>
      </c>
      <c r="E1139" s="6">
        <v>366900.29083547002</v>
      </c>
      <c r="F1139" s="6">
        <v>6548861.6464759996</v>
      </c>
      <c r="G1139" s="7" t="str">
        <f>HYPERLINK("https://minkarta.lantmateriet.se/?e=366900,29083547&amp;n=6548861,646476&amp;z=12&amp;profile=flygbildmedgranser&amp;background=2&amp;boundaries=true","Visa")</f>
        <v>Visa</v>
      </c>
      <c r="H1139" s="5" t="s">
        <v>8</v>
      </c>
      <c r="I1139" s="8">
        <v>42.506399999999999</v>
      </c>
      <c r="J1139" s="9">
        <v>47.80688</v>
      </c>
      <c r="K1139" s="9">
        <v>49.375630000000001</v>
      </c>
      <c r="L1139" s="14">
        <v>43.41581</v>
      </c>
      <c r="M1139" s="9">
        <v>48.263399999999997</v>
      </c>
      <c r="N1139" s="9">
        <v>49.881129999999999</v>
      </c>
      <c r="O1139" s="14">
        <v>43.605029999999999</v>
      </c>
      <c r="P1139" s="9">
        <v>48.294490000000003</v>
      </c>
      <c r="Q1139" s="9">
        <v>49.910730000000001</v>
      </c>
      <c r="R1139" s="23">
        <v>35.553910000000002</v>
      </c>
      <c r="S1139" s="8">
        <v>0.18922</v>
      </c>
      <c r="T1139" s="9">
        <v>3.109E-2</v>
      </c>
      <c r="U1139" s="24">
        <v>2.9600000000000001E-2</v>
      </c>
    </row>
    <row r="1140" spans="1:21" ht="12" customHeight="1" x14ac:dyDescent="0.25">
      <c r="A1140" s="5">
        <v>2930</v>
      </c>
      <c r="B1140" s="19" t="s">
        <v>568</v>
      </c>
      <c r="C1140" s="19" t="s">
        <v>254</v>
      </c>
      <c r="D1140" s="5" t="s">
        <v>569</v>
      </c>
      <c r="E1140" s="6">
        <v>366899.56052776001</v>
      </c>
      <c r="F1140" s="6">
        <v>6548868.4083359996</v>
      </c>
      <c r="G1140" s="7" t="str">
        <f>HYPERLINK("https://minkarta.lantmateriet.se/?e=366899,56052776&amp;n=6548868,408336&amp;z=12&amp;profile=flygbildmedgranser&amp;background=2&amp;boundaries=true","Visa")</f>
        <v>Visa</v>
      </c>
      <c r="H1140" s="5" t="s">
        <v>9</v>
      </c>
      <c r="I1140" s="8">
        <v>44.079430000000002</v>
      </c>
      <c r="J1140" s="9">
        <v>56.390419999999999</v>
      </c>
      <c r="K1140" s="9">
        <v>56.424390000000002</v>
      </c>
      <c r="L1140" s="14">
        <v>44.992139999999999</v>
      </c>
      <c r="M1140" s="9">
        <v>56.390419999999999</v>
      </c>
      <c r="N1140" s="9">
        <v>56.92989</v>
      </c>
      <c r="O1140" s="14">
        <v>45.108609999999999</v>
      </c>
      <c r="P1140" s="9">
        <v>56.390419999999999</v>
      </c>
      <c r="Q1140" s="9">
        <v>56.959499999999998</v>
      </c>
      <c r="R1140" s="23">
        <v>30.659279999999999</v>
      </c>
      <c r="S1140" s="8">
        <v>0.11647</v>
      </c>
      <c r="T1140" s="9">
        <v>0</v>
      </c>
      <c r="U1140" s="24">
        <v>2.9610000000000001E-2</v>
      </c>
    </row>
    <row r="1141" spans="1:21" ht="12" customHeight="1" x14ac:dyDescent="0.25">
      <c r="A1141" s="5">
        <v>2931</v>
      </c>
      <c r="B1141" s="19" t="s">
        <v>568</v>
      </c>
      <c r="C1141" s="19" t="s">
        <v>254</v>
      </c>
      <c r="D1141" s="5" t="s">
        <v>569</v>
      </c>
      <c r="E1141" s="6">
        <v>366893.04766697</v>
      </c>
      <c r="F1141" s="6">
        <v>6548866.4495286997</v>
      </c>
      <c r="G1141" s="7" t="str">
        <f>HYPERLINK("https://minkarta.lantmateriet.se/?e=366893,04766697&amp;n=6548866,4495287&amp;z=12&amp;profile=flygbildmedgranser&amp;background=2&amp;boundaries=true","Visa")</f>
        <v>Visa</v>
      </c>
      <c r="H1141" s="5" t="s">
        <v>10</v>
      </c>
      <c r="I1141" s="8">
        <v>42.845999999999997</v>
      </c>
      <c r="J1141" s="9">
        <v>48.952809999999999</v>
      </c>
      <c r="K1141" s="9">
        <v>50.521560000000001</v>
      </c>
      <c r="L1141" s="14">
        <v>43.749049999999997</v>
      </c>
      <c r="M1141" s="9">
        <v>49.40934</v>
      </c>
      <c r="N1141" s="9">
        <v>51.027059999999999</v>
      </c>
      <c r="O1141" s="14">
        <v>43.887860000000003</v>
      </c>
      <c r="P1141" s="9">
        <v>49.440420000000003</v>
      </c>
      <c r="Q1141" s="9">
        <v>51.056660000000001</v>
      </c>
      <c r="R1141" s="23">
        <v>33.440019999999997</v>
      </c>
      <c r="S1141" s="8">
        <v>0.13880999999999999</v>
      </c>
      <c r="T1141" s="9">
        <v>3.108E-2</v>
      </c>
      <c r="U1141" s="24">
        <v>2.9600000000000001E-2</v>
      </c>
    </row>
    <row r="1142" spans="1:21" ht="12" customHeight="1" x14ac:dyDescent="0.25">
      <c r="A1142" s="5">
        <v>2932</v>
      </c>
      <c r="B1142" s="19" t="s">
        <v>568</v>
      </c>
      <c r="C1142" s="19" t="s">
        <v>254</v>
      </c>
      <c r="D1142" s="5" t="s">
        <v>569</v>
      </c>
      <c r="E1142" s="6">
        <v>366893.77797477</v>
      </c>
      <c r="F1142" s="6">
        <v>6548859.6876677005</v>
      </c>
      <c r="G1142" s="7" t="str">
        <f>HYPERLINK("https://minkarta.lantmateriet.se/?e=366893,77797477&amp;n=6548859,6876677&amp;z=12&amp;profile=flygbildmedgranser&amp;background=2&amp;boundaries=true","Visa")</f>
        <v>Visa</v>
      </c>
      <c r="H1142" s="5" t="s">
        <v>11</v>
      </c>
      <c r="I1142" s="8">
        <v>45.245190000000001</v>
      </c>
      <c r="J1142" s="9">
        <v>55.944540000000003</v>
      </c>
      <c r="K1142" s="9">
        <v>57.310020000000002</v>
      </c>
      <c r="L1142" s="14">
        <v>46.156689999999998</v>
      </c>
      <c r="M1142" s="9">
        <v>56.197800000000001</v>
      </c>
      <c r="N1142" s="9">
        <v>57.815519999999999</v>
      </c>
      <c r="O1142" s="14">
        <v>46.28631</v>
      </c>
      <c r="P1142" s="9">
        <v>56.228879999999997</v>
      </c>
      <c r="Q1142" s="9">
        <v>57.845120000000001</v>
      </c>
      <c r="R1142" s="23">
        <v>34.433970000000002</v>
      </c>
      <c r="S1142" s="8">
        <v>0.12962000000000001</v>
      </c>
      <c r="T1142" s="9">
        <v>3.108E-2</v>
      </c>
      <c r="U1142" s="24">
        <v>2.9600000000000001E-2</v>
      </c>
    </row>
    <row r="1143" spans="1:21" ht="12" customHeight="1" x14ac:dyDescent="0.25">
      <c r="A1143" s="5">
        <v>2933</v>
      </c>
      <c r="B1143" s="19" t="s">
        <v>570</v>
      </c>
      <c r="C1143" s="19" t="s">
        <v>254</v>
      </c>
      <c r="D1143" s="5" t="s">
        <v>571</v>
      </c>
      <c r="E1143" s="6">
        <v>366909.97431824001</v>
      </c>
      <c r="F1143" s="6">
        <v>6548855.1634501005</v>
      </c>
      <c r="G1143" s="7" t="str">
        <f>HYPERLINK("https://minkarta.lantmateriet.se/?e=366909,97431824&amp;n=6548855,1634501&amp;z=12&amp;profile=flygbildmedgranser&amp;background=2&amp;boundaries=true","Visa")</f>
        <v>Visa</v>
      </c>
      <c r="H1143" s="5" t="s">
        <v>8</v>
      </c>
      <c r="I1143" s="8">
        <v>42.023040000000002</v>
      </c>
      <c r="J1143" s="9">
        <v>46.661610000000003</v>
      </c>
      <c r="K1143" s="9">
        <v>48.230350000000001</v>
      </c>
      <c r="L1143" s="14">
        <v>42.93262</v>
      </c>
      <c r="M1143" s="9">
        <v>47.118130000000001</v>
      </c>
      <c r="N1143" s="9">
        <v>48.735860000000002</v>
      </c>
      <c r="O1143" s="14">
        <v>43.190860000000001</v>
      </c>
      <c r="P1143" s="9">
        <v>47.14922</v>
      </c>
      <c r="Q1143" s="9">
        <v>48.765459999999997</v>
      </c>
      <c r="R1143" s="23">
        <v>36.663710000000002</v>
      </c>
      <c r="S1143" s="8">
        <v>0.25824000000000003</v>
      </c>
      <c r="T1143" s="9">
        <v>3.109E-2</v>
      </c>
      <c r="U1143" s="24">
        <v>2.9600000000000001E-2</v>
      </c>
    </row>
    <row r="1144" spans="1:21" ht="12" customHeight="1" x14ac:dyDescent="0.25">
      <c r="A1144" s="5">
        <v>2934</v>
      </c>
      <c r="B1144" s="19" t="s">
        <v>570</v>
      </c>
      <c r="C1144" s="19" t="s">
        <v>254</v>
      </c>
      <c r="D1144" s="5" t="s">
        <v>571</v>
      </c>
      <c r="E1144" s="6">
        <v>366909.28355257999</v>
      </c>
      <c r="F1144" s="6">
        <v>6548861.8668194003</v>
      </c>
      <c r="G1144" s="7" t="str">
        <f>HYPERLINK("https://minkarta.lantmateriet.se/?e=366909,28355258&amp;n=6548861,8668194&amp;z=12&amp;profile=flygbildmedgranser&amp;background=2&amp;boundaries=true","Visa")</f>
        <v>Visa</v>
      </c>
      <c r="H1144" s="5" t="s">
        <v>9</v>
      </c>
      <c r="I1144" s="8">
        <v>43.015129999999999</v>
      </c>
      <c r="J1144" s="9">
        <v>55.077080000000002</v>
      </c>
      <c r="K1144" s="9">
        <v>56.645820000000001</v>
      </c>
      <c r="L1144" s="14">
        <v>43.929099999999998</v>
      </c>
      <c r="M1144" s="9">
        <v>55.5336</v>
      </c>
      <c r="N1144" s="9">
        <v>57.151330000000002</v>
      </c>
      <c r="O1144" s="14">
        <v>44.066560000000003</v>
      </c>
      <c r="P1144" s="9">
        <v>55.564680000000003</v>
      </c>
      <c r="Q1144" s="9">
        <v>57.18092</v>
      </c>
      <c r="R1144" s="23">
        <v>33.885260000000002</v>
      </c>
      <c r="S1144" s="8">
        <v>0.13746</v>
      </c>
      <c r="T1144" s="9">
        <v>3.108E-2</v>
      </c>
      <c r="U1144" s="24">
        <v>2.9590000000000002E-2</v>
      </c>
    </row>
    <row r="1145" spans="1:21" ht="12" customHeight="1" x14ac:dyDescent="0.25">
      <c r="A1145" s="5">
        <v>2935</v>
      </c>
      <c r="B1145" s="19" t="s">
        <v>570</v>
      </c>
      <c r="C1145" s="19" t="s">
        <v>254</v>
      </c>
      <c r="D1145" s="5" t="s">
        <v>571</v>
      </c>
      <c r="E1145" s="6">
        <v>366902.82768405997</v>
      </c>
      <c r="F1145" s="6">
        <v>6548859.9340543002</v>
      </c>
      <c r="G1145" s="7" t="str">
        <f>HYPERLINK("https://minkarta.lantmateriet.se/?e=366902,82768406&amp;n=6548859,9340543&amp;z=12&amp;profile=flygbildmedgranser&amp;background=2&amp;boundaries=true","Visa")</f>
        <v>Visa</v>
      </c>
      <c r="H1145" s="5" t="s">
        <v>10</v>
      </c>
      <c r="I1145" s="8">
        <v>41.995959999999997</v>
      </c>
      <c r="J1145" s="9">
        <v>48.255760000000002</v>
      </c>
      <c r="K1145" s="9">
        <v>49.824509999999997</v>
      </c>
      <c r="L1145" s="14">
        <v>42.904040000000002</v>
      </c>
      <c r="M1145" s="9">
        <v>48.712290000000003</v>
      </c>
      <c r="N1145" s="9">
        <v>50.330010000000001</v>
      </c>
      <c r="O1145" s="14">
        <v>43.029879999999999</v>
      </c>
      <c r="P1145" s="9">
        <v>48.743369999999999</v>
      </c>
      <c r="Q1145" s="9">
        <v>50.35962</v>
      </c>
      <c r="R1145" s="23">
        <v>30.175999999999998</v>
      </c>
      <c r="S1145" s="8">
        <v>0.12584000000000001</v>
      </c>
      <c r="T1145" s="9">
        <v>3.108E-2</v>
      </c>
      <c r="U1145" s="24">
        <v>2.9610000000000001E-2</v>
      </c>
    </row>
    <row r="1146" spans="1:21" ht="12" customHeight="1" x14ac:dyDescent="0.25">
      <c r="A1146" s="5">
        <v>2936</v>
      </c>
      <c r="B1146" s="19" t="s">
        <v>570</v>
      </c>
      <c r="C1146" s="19" t="s">
        <v>254</v>
      </c>
      <c r="D1146" s="5" t="s">
        <v>571</v>
      </c>
      <c r="E1146" s="6">
        <v>366903.51844861999</v>
      </c>
      <c r="F1146" s="6">
        <v>6548853.2306851</v>
      </c>
      <c r="G1146" s="7" t="str">
        <f>HYPERLINK("https://minkarta.lantmateriet.se/?e=366903,51844862&amp;n=6548853,2306851&amp;z=12&amp;profile=flygbildmedgranser&amp;background=2&amp;boundaries=true","Visa")</f>
        <v>Visa</v>
      </c>
      <c r="H1146" s="5" t="s">
        <v>11</v>
      </c>
      <c r="I1146" s="8">
        <v>44.500059999999998</v>
      </c>
      <c r="J1146" s="9">
        <v>54.311109999999999</v>
      </c>
      <c r="K1146" s="9">
        <v>55.879860000000001</v>
      </c>
      <c r="L1146" s="14">
        <v>45.411909999999999</v>
      </c>
      <c r="M1146" s="9">
        <v>54.76764</v>
      </c>
      <c r="N1146" s="9">
        <v>56.385359999999999</v>
      </c>
      <c r="O1146" s="14">
        <v>45.516620000000003</v>
      </c>
      <c r="P1146" s="9">
        <v>54.798720000000003</v>
      </c>
      <c r="Q1146" s="9">
        <v>56.414960000000001</v>
      </c>
      <c r="R1146" s="23">
        <v>32.257289999999998</v>
      </c>
      <c r="S1146" s="8">
        <v>0.10471</v>
      </c>
      <c r="T1146" s="9">
        <v>3.108E-2</v>
      </c>
      <c r="U1146" s="24">
        <v>2.9600000000000001E-2</v>
      </c>
    </row>
    <row r="1147" spans="1:21" ht="12" customHeight="1" x14ac:dyDescent="0.25">
      <c r="A1147" s="5">
        <v>2937</v>
      </c>
      <c r="B1147" s="19" t="s">
        <v>572</v>
      </c>
      <c r="C1147" s="19" t="s">
        <v>254</v>
      </c>
      <c r="D1147" s="5" t="s">
        <v>573</v>
      </c>
      <c r="E1147" s="6">
        <v>366913.15447522001</v>
      </c>
      <c r="F1147" s="6">
        <v>6548846.7661674004</v>
      </c>
      <c r="G1147" s="7" t="str">
        <f>HYPERLINK("https://minkarta.lantmateriet.se/?e=366913,15447522&amp;n=6548846,7661674&amp;z=12&amp;profile=flygbildmedgranser&amp;background=2&amp;boundaries=true","Visa")</f>
        <v>Visa</v>
      </c>
      <c r="H1147" s="5" t="s">
        <v>11</v>
      </c>
      <c r="I1147" s="8">
        <v>43.741439999999997</v>
      </c>
      <c r="J1147" s="9">
        <v>55.224460000000001</v>
      </c>
      <c r="K1147" s="9">
        <v>56.793210000000002</v>
      </c>
      <c r="L1147" s="14">
        <v>44.652949999999997</v>
      </c>
      <c r="M1147" s="9">
        <v>55.680990000000001</v>
      </c>
      <c r="N1147" s="9">
        <v>57.29871</v>
      </c>
      <c r="O1147" s="14">
        <v>44.808889999999998</v>
      </c>
      <c r="P1147" s="9">
        <v>55.712069999999997</v>
      </c>
      <c r="Q1147" s="9">
        <v>57.328319999999998</v>
      </c>
      <c r="R1147" s="23">
        <v>33.299860000000002</v>
      </c>
      <c r="S1147" s="8">
        <v>0.15594</v>
      </c>
      <c r="T1147" s="9">
        <v>3.108E-2</v>
      </c>
      <c r="U1147" s="24">
        <v>2.9610000000000001E-2</v>
      </c>
    </row>
    <row r="1148" spans="1:21" ht="12" customHeight="1" x14ac:dyDescent="0.25">
      <c r="A1148" s="5">
        <v>2938</v>
      </c>
      <c r="B1148" s="19" t="s">
        <v>572</v>
      </c>
      <c r="C1148" s="19" t="s">
        <v>254</v>
      </c>
      <c r="D1148" s="5" t="s">
        <v>573</v>
      </c>
      <c r="E1148" s="6">
        <v>366919.62433538999</v>
      </c>
      <c r="F1148" s="6">
        <v>6548848.7264759</v>
      </c>
      <c r="G1148" s="7" t="str">
        <f>HYPERLINK("https://minkarta.lantmateriet.se/?e=366919,62433539&amp;n=6548848,7264759&amp;z=12&amp;profile=flygbildmedgranser&amp;background=2&amp;boundaries=true","Visa")</f>
        <v>Visa</v>
      </c>
      <c r="H1148" s="5" t="s">
        <v>8</v>
      </c>
      <c r="I1148" s="8">
        <v>40.221679999999999</v>
      </c>
      <c r="J1148" s="9">
        <v>46.197180000000003</v>
      </c>
      <c r="K1148" s="9">
        <v>47.765929999999997</v>
      </c>
      <c r="L1148" s="14">
        <v>41.13353</v>
      </c>
      <c r="M1148" s="9">
        <v>46.653709999999997</v>
      </c>
      <c r="N1148" s="9">
        <v>48.271430000000002</v>
      </c>
      <c r="O1148" s="14">
        <v>41.349899999999998</v>
      </c>
      <c r="P1148" s="9">
        <v>46.68479</v>
      </c>
      <c r="Q1148" s="9">
        <v>48.301029999999997</v>
      </c>
      <c r="R1148" s="23">
        <v>33.136679999999998</v>
      </c>
      <c r="S1148" s="8">
        <v>0.21637000000000001</v>
      </c>
      <c r="T1148" s="9">
        <v>3.108E-2</v>
      </c>
      <c r="U1148" s="24">
        <v>2.9600000000000001E-2</v>
      </c>
    </row>
    <row r="1149" spans="1:21" ht="12" customHeight="1" x14ac:dyDescent="0.25">
      <c r="A1149" s="5">
        <v>2939</v>
      </c>
      <c r="B1149" s="19" t="s">
        <v>572</v>
      </c>
      <c r="C1149" s="19" t="s">
        <v>254</v>
      </c>
      <c r="D1149" s="5" t="s">
        <v>573</v>
      </c>
      <c r="E1149" s="6">
        <v>366918.91152677999</v>
      </c>
      <c r="F1149" s="6">
        <v>6548855.4488366004</v>
      </c>
      <c r="G1149" s="7" t="str">
        <f>HYPERLINK("https://minkarta.lantmateriet.se/?e=366918,91152678&amp;n=6548855,4488366&amp;z=12&amp;profile=flygbildmedgranser&amp;background=2&amp;boundaries=true","Visa")</f>
        <v>Visa</v>
      </c>
      <c r="H1149" s="5" t="s">
        <v>9</v>
      </c>
      <c r="I1149" s="8">
        <v>42.13879</v>
      </c>
      <c r="J1149" s="9">
        <v>54.487580000000001</v>
      </c>
      <c r="K1149" s="9">
        <v>56.056330000000003</v>
      </c>
      <c r="L1149" s="14">
        <v>43.05021</v>
      </c>
      <c r="M1149" s="9">
        <v>54.944110000000002</v>
      </c>
      <c r="N1149" s="9">
        <v>56.56183</v>
      </c>
      <c r="O1149" s="14">
        <v>43.180459999999997</v>
      </c>
      <c r="P1149" s="9">
        <v>54.975189999999998</v>
      </c>
      <c r="Q1149" s="9">
        <v>56.591430000000003</v>
      </c>
      <c r="R1149" s="23">
        <v>31.66329</v>
      </c>
      <c r="S1149" s="8">
        <v>0.13025</v>
      </c>
      <c r="T1149" s="9">
        <v>3.108E-2</v>
      </c>
      <c r="U1149" s="24">
        <v>2.9600000000000001E-2</v>
      </c>
    </row>
    <row r="1150" spans="1:21" ht="12" customHeight="1" x14ac:dyDescent="0.25">
      <c r="A1150" s="5">
        <v>2940</v>
      </c>
      <c r="B1150" s="19" t="s">
        <v>572</v>
      </c>
      <c r="C1150" s="19" t="s">
        <v>254</v>
      </c>
      <c r="D1150" s="5" t="s">
        <v>573</v>
      </c>
      <c r="E1150" s="6">
        <v>366912.44166662003</v>
      </c>
      <c r="F1150" s="6">
        <v>6548853.4885280998</v>
      </c>
      <c r="G1150" s="7" t="str">
        <f>HYPERLINK("https://minkarta.lantmateriet.se/?e=366912,44166662&amp;n=6548853,4885281&amp;z=12&amp;profile=flygbildmedgranser&amp;background=2&amp;boundaries=true","Visa")</f>
        <v>Visa</v>
      </c>
      <c r="H1150" s="5" t="s">
        <v>10</v>
      </c>
      <c r="I1150" s="8">
        <v>41.721890000000002</v>
      </c>
      <c r="J1150" s="9">
        <v>48.691870000000002</v>
      </c>
      <c r="K1150" s="9">
        <v>50.260620000000003</v>
      </c>
      <c r="L1150" s="14">
        <v>42.628019999999999</v>
      </c>
      <c r="M1150" s="9">
        <v>49.148400000000002</v>
      </c>
      <c r="N1150" s="9">
        <v>50.766120000000001</v>
      </c>
      <c r="O1150" s="14">
        <v>42.754449999999999</v>
      </c>
      <c r="P1150" s="9">
        <v>49.179479999999998</v>
      </c>
      <c r="Q1150" s="9">
        <v>50.795720000000003</v>
      </c>
      <c r="R1150" s="23">
        <v>31.508790000000001</v>
      </c>
      <c r="S1150" s="8">
        <v>0.12642999999999999</v>
      </c>
      <c r="T1150" s="9">
        <v>3.108E-2</v>
      </c>
      <c r="U1150" s="24">
        <v>2.9600000000000001E-2</v>
      </c>
    </row>
    <row r="1151" spans="1:21" ht="12" customHeight="1" x14ac:dyDescent="0.25">
      <c r="A1151" s="5">
        <v>2941</v>
      </c>
      <c r="B1151" s="19" t="s">
        <v>574</v>
      </c>
      <c r="C1151" s="19" t="s">
        <v>254</v>
      </c>
      <c r="D1151" s="5" t="s">
        <v>575</v>
      </c>
      <c r="E1151" s="6">
        <v>366931.78650103998</v>
      </c>
      <c r="F1151" s="6">
        <v>6548837.7001502998</v>
      </c>
      <c r="G1151" s="7" t="str">
        <f>HYPERLINK("https://minkarta.lantmateriet.se/?e=366931,78650104&amp;n=6548837,7001503&amp;z=12&amp;profile=flygbildmedgranser&amp;background=2&amp;boundaries=true","Visa")</f>
        <v>Visa</v>
      </c>
      <c r="H1151" s="5" t="s">
        <v>11</v>
      </c>
      <c r="I1151" s="8">
        <v>41.16478</v>
      </c>
      <c r="J1151" s="9">
        <v>48.49277</v>
      </c>
      <c r="K1151" s="9">
        <v>50.061520000000002</v>
      </c>
      <c r="L1151" s="14">
        <v>42.076439999999998</v>
      </c>
      <c r="M1151" s="9">
        <v>48.949300000000001</v>
      </c>
      <c r="N1151" s="9">
        <v>50.567019999999999</v>
      </c>
      <c r="O1151" s="14">
        <v>42.195329999999998</v>
      </c>
      <c r="P1151" s="9">
        <v>48.980379999999997</v>
      </c>
      <c r="Q1151" s="9">
        <v>50.596629999999998</v>
      </c>
      <c r="R1151" s="23">
        <v>26.362909999999999</v>
      </c>
      <c r="S1151" s="8">
        <v>0.11889</v>
      </c>
      <c r="T1151" s="9">
        <v>3.108E-2</v>
      </c>
      <c r="U1151" s="24">
        <v>2.9610000000000001E-2</v>
      </c>
    </row>
    <row r="1152" spans="1:21" ht="12" customHeight="1" x14ac:dyDescent="0.25">
      <c r="A1152" s="5">
        <v>2942</v>
      </c>
      <c r="B1152" s="19" t="s">
        <v>574</v>
      </c>
      <c r="C1152" s="19" t="s">
        <v>254</v>
      </c>
      <c r="D1152" s="5" t="s">
        <v>575</v>
      </c>
      <c r="E1152" s="6">
        <v>366938.44285211997</v>
      </c>
      <c r="F1152" s="6">
        <v>6548838.4515012</v>
      </c>
      <c r="G1152" s="7" t="str">
        <f>HYPERLINK("https://minkarta.lantmateriet.se/?e=366938,44285212&amp;n=6548838,4515012&amp;z=12&amp;profile=flygbildmedgranser&amp;background=2&amp;boundaries=true","Visa")</f>
        <v>Visa</v>
      </c>
      <c r="H1152" s="5" t="s">
        <v>8</v>
      </c>
      <c r="I1152" s="8">
        <v>39.657809999999998</v>
      </c>
      <c r="J1152" s="9">
        <v>44.104990000000001</v>
      </c>
      <c r="K1152" s="9">
        <v>45.673740000000002</v>
      </c>
      <c r="L1152" s="14">
        <v>40.561149999999998</v>
      </c>
      <c r="M1152" s="9">
        <v>44.561520000000002</v>
      </c>
      <c r="N1152" s="9">
        <v>46.17924</v>
      </c>
      <c r="O1152" s="14">
        <v>40.760640000000002</v>
      </c>
      <c r="P1152" s="9">
        <v>44.592599999999997</v>
      </c>
      <c r="Q1152" s="9">
        <v>46.208840000000002</v>
      </c>
      <c r="R1152" s="23">
        <v>32.990310000000001</v>
      </c>
      <c r="S1152" s="8">
        <v>0.19949</v>
      </c>
      <c r="T1152" s="9">
        <v>3.108E-2</v>
      </c>
      <c r="U1152" s="24">
        <v>2.9600000000000001E-2</v>
      </c>
    </row>
    <row r="1153" spans="1:21" ht="12" customHeight="1" x14ac:dyDescent="0.25">
      <c r="A1153" s="5">
        <v>2943</v>
      </c>
      <c r="B1153" s="19" t="s">
        <v>574</v>
      </c>
      <c r="C1153" s="19" t="s">
        <v>254</v>
      </c>
      <c r="D1153" s="5" t="s">
        <v>575</v>
      </c>
      <c r="E1153" s="6">
        <v>366936.50450096</v>
      </c>
      <c r="F1153" s="6">
        <v>6548844.8628537003</v>
      </c>
      <c r="G1153" s="7" t="str">
        <f>HYPERLINK("https://minkarta.lantmateriet.se/?e=366936,50450096&amp;n=6548844,8628537&amp;z=12&amp;profile=flygbildmedgranser&amp;background=2&amp;boundaries=true","Visa")</f>
        <v>Visa</v>
      </c>
      <c r="H1153" s="5" t="s">
        <v>9</v>
      </c>
      <c r="I1153" s="8">
        <v>41.34384</v>
      </c>
      <c r="J1153" s="9">
        <v>51.71181</v>
      </c>
      <c r="K1153" s="9">
        <v>53.280560000000001</v>
      </c>
      <c r="L1153" s="14">
        <v>42.25414</v>
      </c>
      <c r="M1153" s="9">
        <v>52.168340000000001</v>
      </c>
      <c r="N1153" s="9">
        <v>53.786059999999999</v>
      </c>
      <c r="O1153" s="14">
        <v>42.452869999999997</v>
      </c>
      <c r="P1153" s="9">
        <v>52.199420000000003</v>
      </c>
      <c r="Q1153" s="9">
        <v>53.815660000000001</v>
      </c>
      <c r="R1153" s="23">
        <v>34.548090000000002</v>
      </c>
      <c r="S1153" s="8">
        <v>0.19872999999999999</v>
      </c>
      <c r="T1153" s="9">
        <v>3.108E-2</v>
      </c>
      <c r="U1153" s="24">
        <v>2.9600000000000001E-2</v>
      </c>
    </row>
    <row r="1154" spans="1:21" ht="12" customHeight="1" x14ac:dyDescent="0.25">
      <c r="A1154" s="5">
        <v>2944</v>
      </c>
      <c r="B1154" s="19" t="s">
        <v>574</v>
      </c>
      <c r="C1154" s="19" t="s">
        <v>254</v>
      </c>
      <c r="D1154" s="5" t="s">
        <v>575</v>
      </c>
      <c r="E1154" s="6">
        <v>366929.84814988001</v>
      </c>
      <c r="F1154" s="6">
        <v>6548844.1115028001</v>
      </c>
      <c r="G1154" s="7" t="str">
        <f>HYPERLINK("https://minkarta.lantmateriet.se/?e=366929,84814988&amp;n=6548844,1115028&amp;z=12&amp;profile=flygbildmedgranser&amp;background=2&amp;boundaries=true","Visa")</f>
        <v>Visa</v>
      </c>
      <c r="H1154" s="5" t="s">
        <v>10</v>
      </c>
      <c r="I1154" s="8">
        <v>42.697690000000001</v>
      </c>
      <c r="J1154" s="9">
        <v>48.172550000000001</v>
      </c>
      <c r="K1154" s="9">
        <v>49.741289999999999</v>
      </c>
      <c r="L1154" s="14">
        <v>43.605049999999999</v>
      </c>
      <c r="M1154" s="9">
        <v>48.629069999999999</v>
      </c>
      <c r="N1154" s="9">
        <v>50.2468</v>
      </c>
      <c r="O1154" s="14">
        <v>43.726390000000002</v>
      </c>
      <c r="P1154" s="9">
        <v>48.660159999999998</v>
      </c>
      <c r="Q1154" s="9">
        <v>50.276400000000002</v>
      </c>
      <c r="R1154" s="23">
        <v>28.201149999999998</v>
      </c>
      <c r="S1154" s="8">
        <v>0.12134</v>
      </c>
      <c r="T1154" s="9">
        <v>3.109E-2</v>
      </c>
      <c r="U1154" s="24">
        <v>2.9600000000000001E-2</v>
      </c>
    </row>
    <row r="1155" spans="1:21" ht="12" customHeight="1" x14ac:dyDescent="0.25">
      <c r="A1155" s="5">
        <v>2945</v>
      </c>
      <c r="B1155" s="19" t="s">
        <v>576</v>
      </c>
      <c r="C1155" s="19" t="s">
        <v>254</v>
      </c>
      <c r="D1155" s="5" t="s">
        <v>577</v>
      </c>
      <c r="E1155" s="6">
        <v>366925.34748959</v>
      </c>
      <c r="F1155" s="6">
        <v>6548828.0256578997</v>
      </c>
      <c r="G1155" s="7" t="str">
        <f>HYPERLINK("https://minkarta.lantmateriet.se/?e=366925,34748959&amp;n=6548828,0256579&amp;z=12&amp;profile=flygbildmedgranser&amp;background=2&amp;boundaries=true","Visa")</f>
        <v>Visa</v>
      </c>
      <c r="H1155" s="5" t="s">
        <v>11</v>
      </c>
      <c r="I1155" s="8">
        <v>42.896239999999999</v>
      </c>
      <c r="J1155" s="9">
        <v>50.781869999999998</v>
      </c>
      <c r="K1155" s="9">
        <v>52.350619999999999</v>
      </c>
      <c r="L1155" s="14">
        <v>43.807409999999997</v>
      </c>
      <c r="M1155" s="9">
        <v>51.238399999999999</v>
      </c>
      <c r="N1155" s="9">
        <v>52.856119999999997</v>
      </c>
      <c r="O1155" s="14">
        <v>43.949629999999999</v>
      </c>
      <c r="P1155" s="9">
        <v>51.269480000000001</v>
      </c>
      <c r="Q1155" s="9">
        <v>52.885719999999999</v>
      </c>
      <c r="R1155" s="23">
        <v>33.42351</v>
      </c>
      <c r="S1155" s="8">
        <v>0.14222000000000001</v>
      </c>
      <c r="T1155" s="9">
        <v>3.108E-2</v>
      </c>
      <c r="U1155" s="24">
        <v>2.9600000000000001E-2</v>
      </c>
    </row>
    <row r="1156" spans="1:21" ht="12" customHeight="1" x14ac:dyDescent="0.25">
      <c r="A1156" s="5">
        <v>2946</v>
      </c>
      <c r="B1156" s="19" t="s">
        <v>576</v>
      </c>
      <c r="C1156" s="19" t="s">
        <v>254</v>
      </c>
      <c r="D1156" s="5" t="s">
        <v>577</v>
      </c>
      <c r="E1156" s="6">
        <v>366932.02034565998</v>
      </c>
      <c r="F1156" s="6">
        <v>6548828.8039913997</v>
      </c>
      <c r="G1156" s="7" t="str">
        <f>HYPERLINK("https://minkarta.lantmateriet.se/?e=366932,02034566&amp;n=6548828,8039914&amp;z=12&amp;profile=flygbildmedgranser&amp;background=2&amp;boundaries=true","Visa")</f>
        <v>Visa</v>
      </c>
      <c r="H1156" s="5" t="s">
        <v>8</v>
      </c>
      <c r="I1156" s="8">
        <v>41.7697</v>
      </c>
      <c r="J1156" s="9">
        <v>48.109000000000002</v>
      </c>
      <c r="K1156" s="9">
        <v>49.677750000000003</v>
      </c>
      <c r="L1156" s="14">
        <v>42.676760000000002</v>
      </c>
      <c r="M1156" s="9">
        <v>48.565530000000003</v>
      </c>
      <c r="N1156" s="9">
        <v>50.183250000000001</v>
      </c>
      <c r="O1156" s="14">
        <v>42.833869999999997</v>
      </c>
      <c r="P1156" s="9">
        <v>48.596609999999998</v>
      </c>
      <c r="Q1156" s="9">
        <v>50.212850000000003</v>
      </c>
      <c r="R1156" s="23">
        <v>32.662509999999997</v>
      </c>
      <c r="S1156" s="8">
        <v>0.15711</v>
      </c>
      <c r="T1156" s="9">
        <v>3.108E-2</v>
      </c>
      <c r="U1156" s="24">
        <v>2.9600000000000001E-2</v>
      </c>
    </row>
    <row r="1157" spans="1:21" ht="12" customHeight="1" x14ac:dyDescent="0.25">
      <c r="A1157" s="5">
        <v>2947</v>
      </c>
      <c r="B1157" s="19" t="s">
        <v>576</v>
      </c>
      <c r="C1157" s="19" t="s">
        <v>254</v>
      </c>
      <c r="D1157" s="5" t="s">
        <v>577</v>
      </c>
      <c r="E1157" s="6">
        <v>366930.11651240999</v>
      </c>
      <c r="F1157" s="6">
        <v>6548835.2473461004</v>
      </c>
      <c r="G1157" s="7" t="str">
        <f>HYPERLINK("https://minkarta.lantmateriet.se/?e=366930,11651241&amp;n=6548835,2473461&amp;z=12&amp;profile=flygbildmedgranser&amp;background=2&amp;boundaries=true","Visa")</f>
        <v>Visa</v>
      </c>
      <c r="H1157" s="5" t="s">
        <v>9</v>
      </c>
      <c r="I1157" s="8">
        <v>41.130690000000001</v>
      </c>
      <c r="J1157" s="9">
        <v>46.627450000000003</v>
      </c>
      <c r="K1157" s="9">
        <v>48.196199999999997</v>
      </c>
      <c r="L1157" s="14">
        <v>42.037820000000004</v>
      </c>
      <c r="M1157" s="9">
        <v>47.083979999999997</v>
      </c>
      <c r="N1157" s="9">
        <v>48.701700000000002</v>
      </c>
      <c r="O1157" s="14">
        <v>42.152360000000002</v>
      </c>
      <c r="P1157" s="9">
        <v>47.11506</v>
      </c>
      <c r="Q1157" s="9">
        <v>48.731299999999997</v>
      </c>
      <c r="R1157" s="23">
        <v>26.014949999999999</v>
      </c>
      <c r="S1157" s="8">
        <v>0.11454</v>
      </c>
      <c r="T1157" s="9">
        <v>3.108E-2</v>
      </c>
      <c r="U1157" s="24">
        <v>2.9600000000000001E-2</v>
      </c>
    </row>
    <row r="1158" spans="1:21" ht="12" customHeight="1" x14ac:dyDescent="0.25">
      <c r="A1158" s="5">
        <v>2948</v>
      </c>
      <c r="B1158" s="19" t="s">
        <v>576</v>
      </c>
      <c r="C1158" s="19" t="s">
        <v>254</v>
      </c>
      <c r="D1158" s="5" t="s">
        <v>577</v>
      </c>
      <c r="E1158" s="6">
        <v>366923.44365634001</v>
      </c>
      <c r="F1158" s="6">
        <v>6548834.4690126004</v>
      </c>
      <c r="G1158" s="7" t="str">
        <f>HYPERLINK("https://minkarta.lantmateriet.se/?e=366923,44365634&amp;n=6548834,4690126&amp;z=12&amp;profile=flygbildmedgranser&amp;background=2&amp;boundaries=true","Visa")</f>
        <v>Visa</v>
      </c>
      <c r="H1158" s="5" t="s">
        <v>10</v>
      </c>
      <c r="I1158" s="8">
        <v>43.323009999999996</v>
      </c>
      <c r="J1158" s="9">
        <v>54.871400000000001</v>
      </c>
      <c r="K1158" s="9">
        <v>56.44014</v>
      </c>
      <c r="L1158" s="14">
        <v>44.23254</v>
      </c>
      <c r="M1158" s="9">
        <v>55.327919999999999</v>
      </c>
      <c r="N1158" s="9">
        <v>56.945639999999997</v>
      </c>
      <c r="O1158" s="14">
        <v>44.365839999999999</v>
      </c>
      <c r="P1158" s="9">
        <v>55.359000000000002</v>
      </c>
      <c r="Q1158" s="9">
        <v>56.975250000000003</v>
      </c>
      <c r="R1158" s="23">
        <v>27.69781</v>
      </c>
      <c r="S1158" s="8">
        <v>0.1333</v>
      </c>
      <c r="T1158" s="9">
        <v>3.108E-2</v>
      </c>
      <c r="U1158" s="24">
        <v>2.9610000000000001E-2</v>
      </c>
    </row>
    <row r="1159" spans="1:21" ht="12" customHeight="1" x14ac:dyDescent="0.25">
      <c r="A1159" s="5">
        <v>2949</v>
      </c>
      <c r="B1159" s="19" t="s">
        <v>578</v>
      </c>
      <c r="C1159" s="19" t="s">
        <v>254</v>
      </c>
      <c r="D1159" s="5" t="s">
        <v>579</v>
      </c>
      <c r="E1159" s="6">
        <v>366913.68795717001</v>
      </c>
      <c r="F1159" s="6">
        <v>6548814.3386794003</v>
      </c>
      <c r="G1159" s="7" t="str">
        <f>HYPERLINK("https://minkarta.lantmateriet.se/?e=366913,68795717&amp;n=6548814,3386794&amp;z=12&amp;profile=flygbildmedgranser&amp;background=2&amp;boundaries=true","Visa")</f>
        <v>Visa</v>
      </c>
      <c r="H1159" s="5" t="s">
        <v>11</v>
      </c>
      <c r="I1159" s="8">
        <v>41.490479999999998</v>
      </c>
      <c r="J1159" s="9">
        <v>47.82978</v>
      </c>
      <c r="K1159" s="9">
        <v>49.398530000000001</v>
      </c>
      <c r="L1159" s="14">
        <v>42.402459999999998</v>
      </c>
      <c r="M1159" s="9">
        <v>48.28631</v>
      </c>
      <c r="N1159" s="9">
        <v>49.904029999999999</v>
      </c>
      <c r="O1159" s="14">
        <v>42.591880000000003</v>
      </c>
      <c r="P1159" s="9">
        <v>48.317390000000003</v>
      </c>
      <c r="Q1159" s="9">
        <v>49.933630000000001</v>
      </c>
      <c r="R1159" s="23">
        <v>37.350720000000003</v>
      </c>
      <c r="S1159" s="8">
        <v>0.18942000000000001</v>
      </c>
      <c r="T1159" s="9">
        <v>3.108E-2</v>
      </c>
      <c r="U1159" s="24">
        <v>2.9600000000000001E-2</v>
      </c>
    </row>
    <row r="1160" spans="1:21" ht="12" customHeight="1" x14ac:dyDescent="0.25">
      <c r="A1160" s="5">
        <v>2950</v>
      </c>
      <c r="B1160" s="19" t="s">
        <v>578</v>
      </c>
      <c r="C1160" s="19" t="s">
        <v>254</v>
      </c>
      <c r="D1160" s="5" t="s">
        <v>579</v>
      </c>
      <c r="E1160" s="6">
        <v>366920.34232293</v>
      </c>
      <c r="F1160" s="6">
        <v>6548815.1079570996</v>
      </c>
      <c r="G1160" s="7" t="str">
        <f>HYPERLINK("https://minkarta.lantmateriet.se/?e=366920,34232293&amp;n=6548815,1079571&amp;z=12&amp;profile=flygbildmedgranser&amp;background=2&amp;boundaries=true","Visa")</f>
        <v>Visa</v>
      </c>
      <c r="H1160" s="5" t="s">
        <v>8</v>
      </c>
      <c r="I1160" s="8">
        <v>40.364109999999997</v>
      </c>
      <c r="J1160" s="9">
        <v>46.894080000000002</v>
      </c>
      <c r="K1160" s="9">
        <v>48.462829999999997</v>
      </c>
      <c r="L1160" s="14">
        <v>41.275269999999999</v>
      </c>
      <c r="M1160" s="9">
        <v>47.350610000000003</v>
      </c>
      <c r="N1160" s="9">
        <v>48.968330000000002</v>
      </c>
      <c r="O1160" s="14">
        <v>41.561430000000001</v>
      </c>
      <c r="P1160" s="9">
        <v>47.381689999999999</v>
      </c>
      <c r="Q1160" s="9">
        <v>48.997929999999997</v>
      </c>
      <c r="R1160" s="23">
        <v>36.407229999999998</v>
      </c>
      <c r="S1160" s="8">
        <v>0.28616000000000003</v>
      </c>
      <c r="T1160" s="9">
        <v>3.108E-2</v>
      </c>
      <c r="U1160" s="24">
        <v>2.9600000000000001E-2</v>
      </c>
    </row>
    <row r="1161" spans="1:21" ht="12" customHeight="1" x14ac:dyDescent="0.25">
      <c r="A1161" s="5">
        <v>2951</v>
      </c>
      <c r="B1161" s="19" t="s">
        <v>578</v>
      </c>
      <c r="C1161" s="19" t="s">
        <v>254</v>
      </c>
      <c r="D1161" s="5" t="s">
        <v>579</v>
      </c>
      <c r="E1161" s="6">
        <v>366918.48854438</v>
      </c>
      <c r="F1161" s="6">
        <v>6548821.5443249</v>
      </c>
      <c r="G1161" s="7" t="str">
        <f>HYPERLINK("https://minkarta.lantmateriet.se/?e=366918,48854438&amp;n=6548821,5443249&amp;z=12&amp;profile=flygbildmedgranser&amp;background=2&amp;boundaries=true","Visa")</f>
        <v>Visa</v>
      </c>
      <c r="H1161" s="5" t="s">
        <v>9</v>
      </c>
      <c r="I1161" s="8">
        <v>40.207569999999997</v>
      </c>
      <c r="J1161" s="9">
        <v>45.617730000000002</v>
      </c>
      <c r="K1161" s="9">
        <v>47.186480000000003</v>
      </c>
      <c r="L1161" s="14">
        <v>41.12003</v>
      </c>
      <c r="M1161" s="9">
        <v>46.074260000000002</v>
      </c>
      <c r="N1161" s="9">
        <v>47.691980000000001</v>
      </c>
      <c r="O1161" s="14">
        <v>41.264850000000003</v>
      </c>
      <c r="P1161" s="9">
        <v>46.105339999999998</v>
      </c>
      <c r="Q1161" s="9">
        <v>47.721580000000003</v>
      </c>
      <c r="R1161" s="23">
        <v>29.112749999999998</v>
      </c>
      <c r="S1161" s="8">
        <v>0.14482</v>
      </c>
      <c r="T1161" s="9">
        <v>3.108E-2</v>
      </c>
      <c r="U1161" s="24">
        <v>2.9600000000000001E-2</v>
      </c>
    </row>
    <row r="1162" spans="1:21" ht="12" customHeight="1" x14ac:dyDescent="0.25">
      <c r="A1162" s="5">
        <v>2952</v>
      </c>
      <c r="B1162" s="19" t="s">
        <v>578</v>
      </c>
      <c r="C1162" s="19" t="s">
        <v>254</v>
      </c>
      <c r="D1162" s="5" t="s">
        <v>579</v>
      </c>
      <c r="E1162" s="6">
        <v>366911.83417853998</v>
      </c>
      <c r="F1162" s="6">
        <v>6548820.7750460999</v>
      </c>
      <c r="G1162" s="7" t="str">
        <f>HYPERLINK("https://minkarta.lantmateriet.se/?e=366911,83417854&amp;n=6548820,7750461&amp;z=12&amp;profile=flygbildmedgranser&amp;background=2&amp;boundaries=true","Visa")</f>
        <v>Visa</v>
      </c>
      <c r="H1162" s="5" t="s">
        <v>10</v>
      </c>
      <c r="I1162" s="8">
        <v>42.109290000000001</v>
      </c>
      <c r="J1162" s="9">
        <v>47.986109999999996</v>
      </c>
      <c r="K1162" s="9">
        <v>49.554859999999998</v>
      </c>
      <c r="L1162" s="14">
        <v>43.019759999999998</v>
      </c>
      <c r="M1162" s="9">
        <v>48.442639999999997</v>
      </c>
      <c r="N1162" s="9">
        <v>50.060360000000003</v>
      </c>
      <c r="O1162" s="14">
        <v>43.11853</v>
      </c>
      <c r="P1162" s="9">
        <v>48.47372</v>
      </c>
      <c r="Q1162" s="9">
        <v>50.089959999999998</v>
      </c>
      <c r="R1162" s="23">
        <v>26.102779999999999</v>
      </c>
      <c r="S1162" s="8">
        <v>9.8769999999999997E-2</v>
      </c>
      <c r="T1162" s="9">
        <v>3.108E-2</v>
      </c>
      <c r="U1162" s="24">
        <v>2.9600000000000001E-2</v>
      </c>
    </row>
    <row r="1163" spans="1:21" ht="12" customHeight="1" x14ac:dyDescent="0.25">
      <c r="A1163" s="5">
        <v>2953</v>
      </c>
      <c r="B1163" s="19" t="s">
        <v>580</v>
      </c>
      <c r="C1163" s="19" t="s">
        <v>254</v>
      </c>
      <c r="D1163" s="5" t="s">
        <v>581</v>
      </c>
      <c r="E1163" s="6">
        <v>366910.28282702999</v>
      </c>
      <c r="F1163" s="6">
        <v>6548807.8434632998</v>
      </c>
      <c r="G1163" s="7" t="str">
        <f>HYPERLINK("https://minkarta.lantmateriet.se/?e=366910,28282703&amp;n=6548807,8434633&amp;z=12&amp;profile=flygbildmedgranser&amp;background=2&amp;boundaries=true","Visa")</f>
        <v>Visa</v>
      </c>
      <c r="H1163" s="5" t="s">
        <v>8</v>
      </c>
      <c r="I1163" s="8">
        <v>41.210889999999999</v>
      </c>
      <c r="J1163" s="9">
        <v>47.4392</v>
      </c>
      <c r="K1163" s="9">
        <v>49.007950000000001</v>
      </c>
      <c r="L1163" s="14">
        <v>42.120370000000001</v>
      </c>
      <c r="M1163" s="9">
        <v>47.89573</v>
      </c>
      <c r="N1163" s="9">
        <v>49.513449999999999</v>
      </c>
      <c r="O1163" s="14">
        <v>42.451419999999999</v>
      </c>
      <c r="P1163" s="9">
        <v>47.926810000000003</v>
      </c>
      <c r="Q1163" s="9">
        <v>49.543050000000001</v>
      </c>
      <c r="R1163" s="23">
        <v>39.947099999999999</v>
      </c>
      <c r="S1163" s="8">
        <v>0.33105000000000001</v>
      </c>
      <c r="T1163" s="9">
        <v>3.108E-2</v>
      </c>
      <c r="U1163" s="24">
        <v>2.9600000000000001E-2</v>
      </c>
    </row>
    <row r="1164" spans="1:21" ht="12" customHeight="1" x14ac:dyDescent="0.25">
      <c r="A1164" s="5">
        <v>2954</v>
      </c>
      <c r="B1164" s="19" t="s">
        <v>580</v>
      </c>
      <c r="C1164" s="19" t="s">
        <v>254</v>
      </c>
      <c r="D1164" s="5" t="s">
        <v>581</v>
      </c>
      <c r="E1164" s="6">
        <v>366908.33653957001</v>
      </c>
      <c r="F1164" s="6">
        <v>6548814.3273280999</v>
      </c>
      <c r="G1164" s="7" t="str">
        <f>HYPERLINK("https://minkarta.lantmateriet.se/?e=366908,33653957&amp;n=6548814,3273281&amp;z=12&amp;profile=flygbildmedgranser&amp;background=2&amp;boundaries=true","Visa")</f>
        <v>Visa</v>
      </c>
      <c r="H1164" s="5" t="s">
        <v>9</v>
      </c>
      <c r="I1164" s="8">
        <v>40.300240000000002</v>
      </c>
      <c r="J1164" s="9">
        <v>48.042180000000002</v>
      </c>
      <c r="K1164" s="9">
        <v>49.610930000000003</v>
      </c>
      <c r="L1164" s="14">
        <v>41.214689999999997</v>
      </c>
      <c r="M1164" s="9">
        <v>48.498710000000003</v>
      </c>
      <c r="N1164" s="9">
        <v>50.116430000000001</v>
      </c>
      <c r="O1164" s="14">
        <v>41.293239999999997</v>
      </c>
      <c r="P1164" s="9">
        <v>48.529789999999998</v>
      </c>
      <c r="Q1164" s="9">
        <v>50.146030000000003</v>
      </c>
      <c r="R1164" s="23">
        <v>26.011620000000001</v>
      </c>
      <c r="S1164" s="8">
        <v>7.8549999999999995E-2</v>
      </c>
      <c r="T1164" s="9">
        <v>3.108E-2</v>
      </c>
      <c r="U1164" s="24">
        <v>2.9600000000000001E-2</v>
      </c>
    </row>
    <row r="1165" spans="1:21" ht="12" customHeight="1" x14ac:dyDescent="0.25">
      <c r="A1165" s="5">
        <v>2955</v>
      </c>
      <c r="B1165" s="19" t="s">
        <v>580</v>
      </c>
      <c r="C1165" s="19" t="s">
        <v>254</v>
      </c>
      <c r="D1165" s="5" t="s">
        <v>581</v>
      </c>
      <c r="E1165" s="6">
        <v>366901.60417533002</v>
      </c>
      <c r="F1165" s="6">
        <v>6548813.6170412004</v>
      </c>
      <c r="G1165" s="7" t="str">
        <f>HYPERLINK("https://minkarta.lantmateriet.se/?e=366901,60417533&amp;n=6548813,6170412&amp;z=12&amp;profile=flygbildmedgranser&amp;background=2&amp;boundaries=true","Visa")</f>
        <v>Visa</v>
      </c>
      <c r="H1165" s="5" t="s">
        <v>10</v>
      </c>
      <c r="I1165" s="8">
        <v>43.056829999999998</v>
      </c>
      <c r="J1165" s="9">
        <v>48.154060000000001</v>
      </c>
      <c r="K1165" s="9">
        <v>49.722810000000003</v>
      </c>
      <c r="L1165" s="14">
        <v>43.964840000000002</v>
      </c>
      <c r="M1165" s="9">
        <v>48.610590000000002</v>
      </c>
      <c r="N1165" s="9">
        <v>50.22831</v>
      </c>
      <c r="O1165" s="14">
        <v>44.06906</v>
      </c>
      <c r="P1165" s="9">
        <v>48.641669999999998</v>
      </c>
      <c r="Q1165" s="9">
        <v>50.257919999999999</v>
      </c>
      <c r="R1165" s="23">
        <v>29.80236</v>
      </c>
      <c r="S1165" s="8">
        <v>0.10421999999999999</v>
      </c>
      <c r="T1165" s="9">
        <v>3.108E-2</v>
      </c>
      <c r="U1165" s="24">
        <v>2.9610000000000001E-2</v>
      </c>
    </row>
    <row r="1166" spans="1:21" ht="12" customHeight="1" x14ac:dyDescent="0.25">
      <c r="A1166" s="5">
        <v>2956</v>
      </c>
      <c r="B1166" s="19" t="s">
        <v>580</v>
      </c>
      <c r="C1166" s="19" t="s">
        <v>254</v>
      </c>
      <c r="D1166" s="5" t="s">
        <v>581</v>
      </c>
      <c r="E1166" s="6">
        <v>366903.55046176002</v>
      </c>
      <c r="F1166" s="6">
        <v>6548807.1331762997</v>
      </c>
      <c r="G1166" s="7" t="str">
        <f>HYPERLINK("https://minkarta.lantmateriet.se/?e=366903,55046176&amp;n=6548807,1331763&amp;z=12&amp;profile=flygbildmedgranser&amp;background=2&amp;boundaries=true","Visa")</f>
        <v>Visa</v>
      </c>
      <c r="H1166" s="5" t="s">
        <v>11</v>
      </c>
      <c r="I1166" s="8">
        <v>42.159770000000002</v>
      </c>
      <c r="J1166" s="9">
        <v>49.697989999999997</v>
      </c>
      <c r="K1166" s="9">
        <v>51.266739999999999</v>
      </c>
      <c r="L1166" s="14">
        <v>43.074159999999999</v>
      </c>
      <c r="M1166" s="9">
        <v>50.154510000000002</v>
      </c>
      <c r="N1166" s="9">
        <v>51.772239999999996</v>
      </c>
      <c r="O1166" s="14">
        <v>43.220750000000002</v>
      </c>
      <c r="P1166" s="9">
        <v>50.185600000000001</v>
      </c>
      <c r="Q1166" s="9">
        <v>51.801839999999999</v>
      </c>
      <c r="R1166" s="23">
        <v>33.975929999999998</v>
      </c>
      <c r="S1166" s="8">
        <v>0.14659</v>
      </c>
      <c r="T1166" s="9">
        <v>3.109E-2</v>
      </c>
      <c r="U1166" s="24">
        <v>2.9600000000000001E-2</v>
      </c>
    </row>
    <row r="1167" spans="1:21" ht="12" customHeight="1" x14ac:dyDescent="0.25">
      <c r="A1167" s="5">
        <v>2957</v>
      </c>
      <c r="B1167" s="19" t="s">
        <v>582</v>
      </c>
      <c r="C1167" s="19" t="s">
        <v>254</v>
      </c>
      <c r="D1167" s="5" t="s">
        <v>583</v>
      </c>
      <c r="E1167" s="6">
        <v>366899.94382945</v>
      </c>
      <c r="F1167" s="6">
        <v>6548800.6259669</v>
      </c>
      <c r="G1167" s="7" t="str">
        <f>HYPERLINK("https://minkarta.lantmateriet.se/?e=366899,94382945&amp;n=6548800,6259669&amp;z=12&amp;profile=flygbildmedgranser&amp;background=2&amp;boundaries=true","Visa")</f>
        <v>Visa</v>
      </c>
      <c r="H1167" s="5" t="s">
        <v>8</v>
      </c>
      <c r="I1167" s="8">
        <v>41.04016</v>
      </c>
      <c r="J1167" s="9">
        <v>45.350160000000002</v>
      </c>
      <c r="K1167" s="9">
        <v>46.918909999999997</v>
      </c>
      <c r="L1167" s="14">
        <v>41.951970000000003</v>
      </c>
      <c r="M1167" s="9">
        <v>45.806690000000003</v>
      </c>
      <c r="N1167" s="9">
        <v>47.424410000000002</v>
      </c>
      <c r="O1167" s="14">
        <v>42.207520000000002</v>
      </c>
      <c r="P1167" s="9">
        <v>45.837769999999999</v>
      </c>
      <c r="Q1167" s="9">
        <v>47.454009999999997</v>
      </c>
      <c r="R1167" s="23">
        <v>37.04813</v>
      </c>
      <c r="S1167" s="8">
        <v>0.25555</v>
      </c>
      <c r="T1167" s="9">
        <v>3.108E-2</v>
      </c>
      <c r="U1167" s="24">
        <v>2.9600000000000001E-2</v>
      </c>
    </row>
    <row r="1168" spans="1:21" ht="12" customHeight="1" x14ac:dyDescent="0.25">
      <c r="A1168" s="5">
        <v>2958</v>
      </c>
      <c r="B1168" s="19" t="s">
        <v>582</v>
      </c>
      <c r="C1168" s="19" t="s">
        <v>254</v>
      </c>
      <c r="D1168" s="5" t="s">
        <v>583</v>
      </c>
      <c r="E1168" s="6">
        <v>366898.09803579003</v>
      </c>
      <c r="F1168" s="6">
        <v>6548807.0913306</v>
      </c>
      <c r="G1168" s="7" t="str">
        <f>HYPERLINK("https://minkarta.lantmateriet.se/?e=366898,09803579&amp;n=6548807,0913306&amp;z=12&amp;profile=flygbildmedgranser&amp;background=2&amp;boundaries=true","Visa")</f>
        <v>Visa</v>
      </c>
      <c r="H1168" s="5" t="s">
        <v>9</v>
      </c>
      <c r="I1168" s="8">
        <v>41.600230000000003</v>
      </c>
      <c r="J1168" s="9">
        <v>47.138420000000004</v>
      </c>
      <c r="K1168" s="9">
        <v>48.707169999999998</v>
      </c>
      <c r="L1168" s="14">
        <v>42.513100000000001</v>
      </c>
      <c r="M1168" s="9">
        <v>47.594949999999997</v>
      </c>
      <c r="N1168" s="9">
        <v>49.212670000000003</v>
      </c>
      <c r="O1168" s="14">
        <v>42.530700000000003</v>
      </c>
      <c r="P1168" s="9">
        <v>47.62603</v>
      </c>
      <c r="Q1168" s="9">
        <v>49.242269999999998</v>
      </c>
      <c r="R1168" s="23">
        <v>27.704989999999999</v>
      </c>
      <c r="S1168" s="8">
        <v>1.7600000000000001E-2</v>
      </c>
      <c r="T1168" s="9">
        <v>3.108E-2</v>
      </c>
      <c r="U1168" s="24">
        <v>2.9600000000000001E-2</v>
      </c>
    </row>
    <row r="1169" spans="1:21" ht="12" customHeight="1" x14ac:dyDescent="0.25">
      <c r="A1169" s="5">
        <v>2959</v>
      </c>
      <c r="B1169" s="19" t="s">
        <v>582</v>
      </c>
      <c r="C1169" s="19" t="s">
        <v>254</v>
      </c>
      <c r="D1169" s="5" t="s">
        <v>583</v>
      </c>
      <c r="E1169" s="6">
        <v>366891.42217291001</v>
      </c>
      <c r="F1169" s="6">
        <v>6548806.2895376002</v>
      </c>
      <c r="G1169" s="7" t="str">
        <f>HYPERLINK("https://minkarta.lantmateriet.se/?e=366891,42217291&amp;n=6548806,2895376&amp;z=12&amp;profile=flygbildmedgranser&amp;background=2&amp;boundaries=true","Visa")</f>
        <v>Visa</v>
      </c>
      <c r="H1169" s="5" t="s">
        <v>10</v>
      </c>
      <c r="I1169" s="8">
        <v>43.863500000000002</v>
      </c>
      <c r="J1169" s="9">
        <v>49.099429999999998</v>
      </c>
      <c r="K1169" s="9">
        <v>50.66818</v>
      </c>
      <c r="L1169" s="14">
        <v>44.775530000000003</v>
      </c>
      <c r="M1169" s="9">
        <v>49.555959999999999</v>
      </c>
      <c r="N1169" s="9">
        <v>51.173679999999997</v>
      </c>
      <c r="O1169" s="14">
        <v>44.89432</v>
      </c>
      <c r="P1169" s="9">
        <v>49.587040000000002</v>
      </c>
      <c r="Q1169" s="9">
        <v>51.203290000000003</v>
      </c>
      <c r="R1169" s="23">
        <v>32.281889999999997</v>
      </c>
      <c r="S1169" s="8">
        <v>0.11879000000000001</v>
      </c>
      <c r="T1169" s="9">
        <v>3.108E-2</v>
      </c>
      <c r="U1169" s="24">
        <v>2.9610000000000001E-2</v>
      </c>
    </row>
    <row r="1170" spans="1:21" ht="12" customHeight="1" x14ac:dyDescent="0.25">
      <c r="A1170" s="5">
        <v>2960</v>
      </c>
      <c r="B1170" s="19" t="s">
        <v>582</v>
      </c>
      <c r="C1170" s="19" t="s">
        <v>254</v>
      </c>
      <c r="D1170" s="5" t="s">
        <v>583</v>
      </c>
      <c r="E1170" s="6">
        <v>366893.26796552999</v>
      </c>
      <c r="F1170" s="6">
        <v>6548799.8241737997</v>
      </c>
      <c r="G1170" s="7" t="str">
        <f>HYPERLINK("https://minkarta.lantmateriet.se/?e=366893,26796553&amp;n=6548799,8241738&amp;z=12&amp;profile=flygbildmedgranser&amp;background=2&amp;boundaries=true","Visa")</f>
        <v>Visa</v>
      </c>
      <c r="H1170" s="5" t="s">
        <v>11</v>
      </c>
      <c r="I1170" s="8">
        <v>42.159480000000002</v>
      </c>
      <c r="J1170" s="9">
        <v>48.86692</v>
      </c>
      <c r="K1170" s="9">
        <v>50.435670000000002</v>
      </c>
      <c r="L1170" s="14">
        <v>43.073180000000001</v>
      </c>
      <c r="M1170" s="9">
        <v>49.323439999999998</v>
      </c>
      <c r="N1170" s="9">
        <v>50.94117</v>
      </c>
      <c r="O1170" s="14">
        <v>43.262729999999998</v>
      </c>
      <c r="P1170" s="9">
        <v>49.354529999999997</v>
      </c>
      <c r="Q1170" s="9">
        <v>50.970770000000002</v>
      </c>
      <c r="R1170" s="23">
        <v>35.371270000000003</v>
      </c>
      <c r="S1170" s="8">
        <v>0.18955</v>
      </c>
      <c r="T1170" s="9">
        <v>3.109E-2</v>
      </c>
      <c r="U1170" s="24">
        <v>2.9600000000000001E-2</v>
      </c>
    </row>
    <row r="1171" spans="1:21" ht="12" customHeight="1" x14ac:dyDescent="0.25">
      <c r="A1171" s="5">
        <v>2961</v>
      </c>
      <c r="B1171" s="19" t="s">
        <v>584</v>
      </c>
      <c r="C1171" s="19" t="s">
        <v>254</v>
      </c>
      <c r="D1171" s="5" t="s">
        <v>585</v>
      </c>
      <c r="E1171" s="6">
        <v>366883.32942415</v>
      </c>
      <c r="F1171" s="6">
        <v>6548792.4867014997</v>
      </c>
      <c r="G1171" s="7" t="str">
        <f>HYPERLINK("https://minkarta.lantmateriet.se/?e=366883,32942415&amp;n=6548792,4867015&amp;z=12&amp;profile=flygbildmedgranser&amp;background=2&amp;boundaries=true","Visa")</f>
        <v>Visa</v>
      </c>
      <c r="H1171" s="5" t="s">
        <v>11</v>
      </c>
      <c r="I1171" s="8">
        <v>43.178359999999998</v>
      </c>
      <c r="J1171" s="9">
        <v>51.326520000000002</v>
      </c>
      <c r="K1171" s="9">
        <v>51.587859999999999</v>
      </c>
      <c r="L1171" s="14">
        <v>44.085850000000001</v>
      </c>
      <c r="M1171" s="9">
        <v>51.326520000000002</v>
      </c>
      <c r="N1171" s="9">
        <v>52.093359999999997</v>
      </c>
      <c r="O1171" s="14">
        <v>44.273499999999999</v>
      </c>
      <c r="P1171" s="9">
        <v>51.326520000000002</v>
      </c>
      <c r="Q1171" s="9">
        <v>52.122959999999999</v>
      </c>
      <c r="R1171" s="23">
        <v>35.282249999999998</v>
      </c>
      <c r="S1171" s="8">
        <v>0.18765000000000001</v>
      </c>
      <c r="T1171" s="9">
        <v>0</v>
      </c>
      <c r="U1171" s="24">
        <v>2.9600000000000001E-2</v>
      </c>
    </row>
    <row r="1172" spans="1:21" ht="12" customHeight="1" x14ac:dyDescent="0.25">
      <c r="A1172" s="5">
        <v>2962</v>
      </c>
      <c r="B1172" s="19" t="s">
        <v>584</v>
      </c>
      <c r="C1172" s="19" t="s">
        <v>254</v>
      </c>
      <c r="D1172" s="5" t="s">
        <v>585</v>
      </c>
      <c r="E1172" s="6">
        <v>366890.04230147001</v>
      </c>
      <c r="F1172" s="6">
        <v>6548793.1839250997</v>
      </c>
      <c r="G1172" s="7" t="str">
        <f>HYPERLINK("https://minkarta.lantmateriet.se/?e=366890,04230147&amp;n=6548793,1839251&amp;z=12&amp;profile=flygbildmedgranser&amp;background=2&amp;boundaries=true","Visa")</f>
        <v>Visa</v>
      </c>
      <c r="H1172" s="5" t="s">
        <v>8</v>
      </c>
      <c r="I1172" s="8">
        <v>41.085560000000001</v>
      </c>
      <c r="J1172" s="9">
        <v>46.770449999999997</v>
      </c>
      <c r="K1172" s="9">
        <v>47.450850000000003</v>
      </c>
      <c r="L1172" s="14">
        <v>41.99823</v>
      </c>
      <c r="M1172" s="9">
        <v>46.770449999999997</v>
      </c>
      <c r="N1172" s="9">
        <v>48.59093</v>
      </c>
      <c r="O1172" s="14">
        <v>42.218490000000003</v>
      </c>
      <c r="P1172" s="9">
        <v>46.770449999999997</v>
      </c>
      <c r="Q1172" s="9">
        <v>48.59093</v>
      </c>
      <c r="R1172" s="23">
        <v>35.566049999999997</v>
      </c>
      <c r="S1172" s="8">
        <v>0.22026000000000001</v>
      </c>
      <c r="T1172" s="9">
        <v>0</v>
      </c>
      <c r="U1172" s="24">
        <v>0</v>
      </c>
    </row>
    <row r="1173" spans="1:21" ht="12" customHeight="1" x14ac:dyDescent="0.25">
      <c r="A1173" s="5">
        <v>2963</v>
      </c>
      <c r="B1173" s="19" t="s">
        <v>584</v>
      </c>
      <c r="C1173" s="19" t="s">
        <v>254</v>
      </c>
      <c r="D1173" s="5" t="s">
        <v>585</v>
      </c>
      <c r="E1173" s="6">
        <v>366888.15057785</v>
      </c>
      <c r="F1173" s="6">
        <v>6548799.6623024996</v>
      </c>
      <c r="G1173" s="7" t="str">
        <f>HYPERLINK("https://minkarta.lantmateriet.se/?e=366888,15057785&amp;n=6548799,6623025&amp;z=12&amp;profile=flygbildmedgranser&amp;background=2&amp;boundaries=true","Visa")</f>
        <v>Visa</v>
      </c>
      <c r="H1173" s="5" t="s">
        <v>9</v>
      </c>
      <c r="I1173" s="8">
        <v>41.498280000000001</v>
      </c>
      <c r="J1173" s="9">
        <v>47.861440000000002</v>
      </c>
      <c r="K1173" s="9">
        <v>49.430190000000003</v>
      </c>
      <c r="L1173" s="14">
        <v>42.41057</v>
      </c>
      <c r="M1173" s="9">
        <v>48.317970000000003</v>
      </c>
      <c r="N1173" s="9">
        <v>49.935690000000001</v>
      </c>
      <c r="O1173" s="14">
        <v>42.520890000000001</v>
      </c>
      <c r="P1173" s="9">
        <v>48.349049999999998</v>
      </c>
      <c r="Q1173" s="9">
        <v>49.965290000000003</v>
      </c>
      <c r="R1173" s="23">
        <v>29.15109</v>
      </c>
      <c r="S1173" s="8">
        <v>0.11032</v>
      </c>
      <c r="T1173" s="9">
        <v>3.108E-2</v>
      </c>
      <c r="U1173" s="24">
        <v>2.9600000000000001E-2</v>
      </c>
    </row>
    <row r="1174" spans="1:21" ht="12" customHeight="1" x14ac:dyDescent="0.25">
      <c r="A1174" s="5">
        <v>2964</v>
      </c>
      <c r="B1174" s="19" t="s">
        <v>584</v>
      </c>
      <c r="C1174" s="19" t="s">
        <v>254</v>
      </c>
      <c r="D1174" s="5" t="s">
        <v>585</v>
      </c>
      <c r="E1174" s="6">
        <v>366881.43770052999</v>
      </c>
      <c r="F1174" s="6">
        <v>6548798.9650788996</v>
      </c>
      <c r="G1174" s="7" t="str">
        <f>HYPERLINK("https://minkarta.lantmateriet.se/?e=366881,43770053&amp;n=6548798,9650789&amp;z=12&amp;profile=flygbildmedgranser&amp;background=2&amp;boundaries=true","Visa")</f>
        <v>Visa</v>
      </c>
      <c r="H1174" s="5" t="s">
        <v>10</v>
      </c>
      <c r="I1174" s="8">
        <v>43.800409999999999</v>
      </c>
      <c r="J1174" s="9">
        <v>50.360509999999998</v>
      </c>
      <c r="K1174" s="9">
        <v>51.929259999999999</v>
      </c>
      <c r="L1174" s="14">
        <v>44.708350000000003</v>
      </c>
      <c r="M1174" s="9">
        <v>50.817039999999999</v>
      </c>
      <c r="N1174" s="9">
        <v>52.434759999999997</v>
      </c>
      <c r="O1174" s="14">
        <v>44.86647</v>
      </c>
      <c r="P1174" s="9">
        <v>50.848120000000002</v>
      </c>
      <c r="Q1174" s="9">
        <v>52.464359999999999</v>
      </c>
      <c r="R1174" s="23">
        <v>34.049379999999999</v>
      </c>
      <c r="S1174" s="8">
        <v>0.15812000000000001</v>
      </c>
      <c r="T1174" s="9">
        <v>3.108E-2</v>
      </c>
      <c r="U1174" s="24">
        <v>2.9600000000000001E-2</v>
      </c>
    </row>
    <row r="1175" spans="1:21" ht="12" customHeight="1" x14ac:dyDescent="0.25">
      <c r="A1175" s="5">
        <v>2965</v>
      </c>
      <c r="B1175" s="19" t="s">
        <v>586</v>
      </c>
      <c r="C1175" s="19" t="s">
        <v>254</v>
      </c>
      <c r="D1175" s="5" t="s">
        <v>587</v>
      </c>
      <c r="E1175" s="6">
        <v>366871.87682433001</v>
      </c>
      <c r="F1175" s="6">
        <v>6548780.1099592</v>
      </c>
      <c r="G1175" s="7" t="str">
        <f>HYPERLINK("https://minkarta.lantmateriet.se/?e=366871,87682433&amp;n=6548780,1099592&amp;z=12&amp;profile=flygbildmedgranser&amp;background=2&amp;boundaries=true","Visa")</f>
        <v>Visa</v>
      </c>
      <c r="H1175" s="5" t="s">
        <v>8</v>
      </c>
      <c r="I1175" s="8">
        <v>40.848799999999997</v>
      </c>
      <c r="J1175" s="9">
        <v>47.691029999999998</v>
      </c>
      <c r="K1175" s="9">
        <v>49.900480000000002</v>
      </c>
      <c r="L1175" s="14">
        <v>41.753019999999999</v>
      </c>
      <c r="M1175" s="9">
        <v>48.31127</v>
      </c>
      <c r="N1175" s="9">
        <v>50.649920000000002</v>
      </c>
      <c r="O1175" s="14">
        <v>41.987409999999997</v>
      </c>
      <c r="P1175" s="9">
        <v>48.352400000000003</v>
      </c>
      <c r="Q1175" s="9">
        <v>50.69229</v>
      </c>
      <c r="R1175" s="23">
        <v>36.408499999999997</v>
      </c>
      <c r="S1175" s="8">
        <v>0.23438999999999999</v>
      </c>
      <c r="T1175" s="9">
        <v>4.113E-2</v>
      </c>
      <c r="U1175" s="24">
        <v>4.2369999999999998E-2</v>
      </c>
    </row>
    <row r="1176" spans="1:21" ht="12" customHeight="1" x14ac:dyDescent="0.25">
      <c r="A1176" s="5">
        <v>2966</v>
      </c>
      <c r="B1176" s="19" t="s">
        <v>586</v>
      </c>
      <c r="C1176" s="19" t="s">
        <v>254</v>
      </c>
      <c r="D1176" s="5" t="s">
        <v>587</v>
      </c>
      <c r="E1176" s="6">
        <v>366871.11904507998</v>
      </c>
      <c r="F1176" s="6">
        <v>6548786.8278245004</v>
      </c>
      <c r="G1176" s="7" t="str">
        <f>HYPERLINK("https://minkarta.lantmateriet.se/?e=366871,11904508&amp;n=6548786,8278245&amp;z=12&amp;profile=flygbildmedgranser&amp;background=2&amp;boundaries=true","Visa")</f>
        <v>Visa</v>
      </c>
      <c r="H1176" s="5" t="s">
        <v>9</v>
      </c>
      <c r="I1176" s="8">
        <v>41.556240000000003</v>
      </c>
      <c r="J1176" s="9">
        <v>49.802199999999999</v>
      </c>
      <c r="K1176" s="9">
        <v>49.802199999999999</v>
      </c>
      <c r="L1176" s="14">
        <v>42.471739999999997</v>
      </c>
      <c r="M1176" s="9">
        <v>49.802199999999999</v>
      </c>
      <c r="N1176" s="9">
        <v>50.229680000000002</v>
      </c>
      <c r="O1176" s="14">
        <v>42.62</v>
      </c>
      <c r="P1176" s="9">
        <v>49.802199999999999</v>
      </c>
      <c r="Q1176" s="9">
        <v>50.259279999999997</v>
      </c>
      <c r="R1176" s="23">
        <v>32.310510000000001</v>
      </c>
      <c r="S1176" s="8">
        <v>0.14826</v>
      </c>
      <c r="T1176" s="9">
        <v>0</v>
      </c>
      <c r="U1176" s="24">
        <v>2.9600000000000001E-2</v>
      </c>
    </row>
    <row r="1177" spans="1:21" ht="12" customHeight="1" x14ac:dyDescent="0.25">
      <c r="A1177" s="5">
        <v>2967</v>
      </c>
      <c r="B1177" s="19" t="s">
        <v>586</v>
      </c>
      <c r="C1177" s="19" t="s">
        <v>254</v>
      </c>
      <c r="D1177" s="5" t="s">
        <v>587</v>
      </c>
      <c r="E1177" s="6">
        <v>366864.62867841002</v>
      </c>
      <c r="F1177" s="6">
        <v>6548784.9385459004</v>
      </c>
      <c r="G1177" s="7" t="str">
        <f>HYPERLINK("https://minkarta.lantmateriet.se/?e=366864,62867841&amp;n=6548784,9385459&amp;z=12&amp;profile=flygbildmedgranser&amp;background=2&amp;boundaries=true","Visa")</f>
        <v>Visa</v>
      </c>
      <c r="H1177" s="5" t="s">
        <v>10</v>
      </c>
      <c r="I1177" s="8">
        <v>42.339019999999998</v>
      </c>
      <c r="J1177" s="9">
        <v>46.28548</v>
      </c>
      <c r="K1177" s="9">
        <v>47.854230000000001</v>
      </c>
      <c r="L1177" s="14">
        <v>43.247509999999998</v>
      </c>
      <c r="M1177" s="9">
        <v>46.742010000000001</v>
      </c>
      <c r="N1177" s="9">
        <v>48.359729999999999</v>
      </c>
      <c r="O1177" s="14">
        <v>43.379829999999998</v>
      </c>
      <c r="P1177" s="9">
        <v>46.773090000000003</v>
      </c>
      <c r="Q1177" s="9">
        <v>48.389339999999997</v>
      </c>
      <c r="R1177" s="23">
        <v>29.283729999999998</v>
      </c>
      <c r="S1177" s="8">
        <v>0.13231999999999999</v>
      </c>
      <c r="T1177" s="9">
        <v>3.108E-2</v>
      </c>
      <c r="U1177" s="24">
        <v>2.9610000000000001E-2</v>
      </c>
    </row>
    <row r="1178" spans="1:21" ht="12" customHeight="1" x14ac:dyDescent="0.25">
      <c r="A1178" s="5">
        <v>2968</v>
      </c>
      <c r="B1178" s="19" t="s">
        <v>586</v>
      </c>
      <c r="C1178" s="19" t="s">
        <v>254</v>
      </c>
      <c r="D1178" s="5" t="s">
        <v>587</v>
      </c>
      <c r="E1178" s="6">
        <v>366865.38645664998</v>
      </c>
      <c r="F1178" s="6">
        <v>6548778.2206797004</v>
      </c>
      <c r="G1178" s="7" t="str">
        <f>HYPERLINK("https://minkarta.lantmateriet.se/?e=366865,38645665&amp;n=6548778,2206797&amp;z=12&amp;profile=flygbildmedgranser&amp;background=2&amp;boundaries=true","Visa")</f>
        <v>Visa</v>
      </c>
      <c r="H1178" s="5" t="s">
        <v>11</v>
      </c>
      <c r="I1178" s="8">
        <v>44.607489999999999</v>
      </c>
      <c r="J1178" s="9">
        <v>51.123350000000002</v>
      </c>
      <c r="K1178" s="9">
        <v>52.692100000000003</v>
      </c>
      <c r="L1178" s="14">
        <v>45.515830000000001</v>
      </c>
      <c r="M1178" s="9">
        <v>51.579880000000003</v>
      </c>
      <c r="N1178" s="9">
        <v>53.197600000000001</v>
      </c>
      <c r="O1178" s="14">
        <v>45.686390000000003</v>
      </c>
      <c r="P1178" s="9">
        <v>51.610959999999999</v>
      </c>
      <c r="Q1178" s="9">
        <v>53.227200000000003</v>
      </c>
      <c r="R1178" s="23">
        <v>38.241810000000001</v>
      </c>
      <c r="S1178" s="8">
        <v>0.17055999999999999</v>
      </c>
      <c r="T1178" s="9">
        <v>3.108E-2</v>
      </c>
      <c r="U1178" s="24">
        <v>2.9600000000000001E-2</v>
      </c>
    </row>
    <row r="1179" spans="1:21" ht="12" customHeight="1" x14ac:dyDescent="0.25">
      <c r="A1179" s="5">
        <v>2969</v>
      </c>
      <c r="B1179" s="19" t="s">
        <v>588</v>
      </c>
      <c r="C1179" s="19" t="s">
        <v>254</v>
      </c>
      <c r="D1179" s="5" t="s">
        <v>589</v>
      </c>
      <c r="E1179" s="6">
        <v>366855.62845854001</v>
      </c>
      <c r="F1179" s="6">
        <v>6548784.7341785002</v>
      </c>
      <c r="G1179" s="7" t="str">
        <f>HYPERLINK("https://minkarta.lantmateriet.se/?e=366855,62845854&amp;n=6548784,7341785&amp;z=12&amp;profile=flygbildmedgranser&amp;background=2&amp;boundaries=true","Visa")</f>
        <v>Visa</v>
      </c>
      <c r="H1179" s="5" t="s">
        <v>11</v>
      </c>
      <c r="I1179" s="8">
        <v>45.247660000000003</v>
      </c>
      <c r="J1179" s="9">
        <v>50.720559999999999</v>
      </c>
      <c r="K1179" s="9">
        <v>52.28931</v>
      </c>
      <c r="L1179" s="14">
        <v>46.15401</v>
      </c>
      <c r="M1179" s="9">
        <v>51.17709</v>
      </c>
      <c r="N1179" s="9">
        <v>52.794809999999998</v>
      </c>
      <c r="O1179" s="14">
        <v>46.401620000000001</v>
      </c>
      <c r="P1179" s="9">
        <v>51.208170000000003</v>
      </c>
      <c r="Q1179" s="9">
        <v>52.82441</v>
      </c>
      <c r="R1179" s="23">
        <v>39.581699999999998</v>
      </c>
      <c r="S1179" s="8">
        <v>0.24761</v>
      </c>
      <c r="T1179" s="9">
        <v>3.108E-2</v>
      </c>
      <c r="U1179" s="24">
        <v>2.9600000000000001E-2</v>
      </c>
    </row>
    <row r="1180" spans="1:21" ht="12" customHeight="1" x14ac:dyDescent="0.25">
      <c r="A1180" s="5">
        <v>2970</v>
      </c>
      <c r="B1180" s="19" t="s">
        <v>588</v>
      </c>
      <c r="C1180" s="19" t="s">
        <v>254</v>
      </c>
      <c r="D1180" s="5" t="s">
        <v>589</v>
      </c>
      <c r="E1180" s="6">
        <v>366862.09232449002</v>
      </c>
      <c r="F1180" s="6">
        <v>6548786.6284595001</v>
      </c>
      <c r="G1180" s="7" t="str">
        <f>HYPERLINK("https://minkarta.lantmateriet.se/?e=366862,09232449&amp;n=6548786,6284595&amp;z=12&amp;profile=flygbildmedgranser&amp;background=2&amp;boundaries=true","Visa")</f>
        <v>Visa</v>
      </c>
      <c r="H1180" s="5" t="s">
        <v>8</v>
      </c>
      <c r="I1180" s="8">
        <v>41.930210000000002</v>
      </c>
      <c r="J1180" s="9">
        <v>47.386510000000001</v>
      </c>
      <c r="K1180" s="9">
        <v>48.955260000000003</v>
      </c>
      <c r="L1180" s="14">
        <v>42.836829999999999</v>
      </c>
      <c r="M1180" s="9">
        <v>47.843040000000002</v>
      </c>
      <c r="N1180" s="9">
        <v>49.460760000000001</v>
      </c>
      <c r="O1180" s="14">
        <v>43.050510000000003</v>
      </c>
      <c r="P1180" s="9">
        <v>47.874119999999998</v>
      </c>
      <c r="Q1180" s="9">
        <v>49.490360000000003</v>
      </c>
      <c r="R1180" s="23">
        <v>34.969790000000003</v>
      </c>
      <c r="S1180" s="8">
        <v>0.21368000000000001</v>
      </c>
      <c r="T1180" s="9">
        <v>3.108E-2</v>
      </c>
      <c r="U1180" s="24">
        <v>2.9600000000000001E-2</v>
      </c>
    </row>
    <row r="1181" spans="1:21" ht="12" customHeight="1" x14ac:dyDescent="0.25">
      <c r="A1181" s="5">
        <v>2971</v>
      </c>
      <c r="B1181" s="19" t="s">
        <v>588</v>
      </c>
      <c r="C1181" s="19" t="s">
        <v>254</v>
      </c>
      <c r="D1181" s="5" t="s">
        <v>589</v>
      </c>
      <c r="E1181" s="6">
        <v>366861.34754266002</v>
      </c>
      <c r="F1181" s="6">
        <v>6548793.3223261004</v>
      </c>
      <c r="G1181" s="7" t="str">
        <f>HYPERLINK("https://minkarta.lantmateriet.se/?e=366861,34754266&amp;n=6548793,3223261&amp;z=12&amp;profile=flygbildmedgranser&amp;background=2&amp;boundaries=true","Visa")</f>
        <v>Visa</v>
      </c>
      <c r="H1181" s="5" t="s">
        <v>9</v>
      </c>
      <c r="I1181" s="8">
        <v>41.030250000000002</v>
      </c>
      <c r="J1181" s="9">
        <v>51.064680000000003</v>
      </c>
      <c r="K1181" s="9">
        <v>51.064680000000003</v>
      </c>
      <c r="L1181" s="14">
        <v>41.940060000000003</v>
      </c>
      <c r="M1181" s="9">
        <v>51.064680000000003</v>
      </c>
      <c r="N1181" s="9">
        <v>51.064680000000003</v>
      </c>
      <c r="O1181" s="14">
        <v>42.084099999999999</v>
      </c>
      <c r="P1181" s="9">
        <v>51.064680000000003</v>
      </c>
      <c r="Q1181" s="9">
        <v>51.064680000000003</v>
      </c>
      <c r="R1181" s="23">
        <v>32.761040000000001</v>
      </c>
      <c r="S1181" s="8">
        <v>0.14404</v>
      </c>
      <c r="T1181" s="9">
        <v>0</v>
      </c>
      <c r="U1181" s="24">
        <v>0</v>
      </c>
    </row>
    <row r="1182" spans="1:21" ht="12" customHeight="1" x14ac:dyDescent="0.25">
      <c r="A1182" s="5">
        <v>2972</v>
      </c>
      <c r="B1182" s="19" t="s">
        <v>588</v>
      </c>
      <c r="C1182" s="19" t="s">
        <v>254</v>
      </c>
      <c r="D1182" s="5" t="s">
        <v>589</v>
      </c>
      <c r="E1182" s="6">
        <v>366854.88367781002</v>
      </c>
      <c r="F1182" s="6">
        <v>6548791.4280449999</v>
      </c>
      <c r="G1182" s="7" t="str">
        <f>HYPERLINK("https://minkarta.lantmateriet.se/?e=366854,88367781&amp;n=6548791,428045&amp;z=12&amp;profile=flygbildmedgranser&amp;background=2&amp;boundaries=true","Visa")</f>
        <v>Visa</v>
      </c>
      <c r="H1182" s="5" t="s">
        <v>10</v>
      </c>
      <c r="I1182" s="8">
        <v>43.551859999999998</v>
      </c>
      <c r="J1182" s="9">
        <v>49.869370000000004</v>
      </c>
      <c r="K1182" s="9">
        <v>51.438110000000002</v>
      </c>
      <c r="L1182" s="14">
        <v>44.460230000000003</v>
      </c>
      <c r="M1182" s="9">
        <v>50.325890000000001</v>
      </c>
      <c r="N1182" s="9">
        <v>51.94361</v>
      </c>
      <c r="O1182" s="14">
        <v>44.61007</v>
      </c>
      <c r="P1182" s="9">
        <v>50.35698</v>
      </c>
      <c r="Q1182" s="9">
        <v>51.973219999999998</v>
      </c>
      <c r="R1182" s="23">
        <v>33.314419999999998</v>
      </c>
      <c r="S1182" s="8">
        <v>0.14984</v>
      </c>
      <c r="T1182" s="9">
        <v>3.109E-2</v>
      </c>
      <c r="U1182" s="24">
        <v>2.9610000000000001E-2</v>
      </c>
    </row>
    <row r="1183" spans="1:21" ht="12" customHeight="1" x14ac:dyDescent="0.25">
      <c r="A1183" s="5">
        <v>2973</v>
      </c>
      <c r="B1183" s="19" t="s">
        <v>590</v>
      </c>
      <c r="C1183" s="19" t="s">
        <v>254</v>
      </c>
      <c r="D1183" s="5" t="s">
        <v>591</v>
      </c>
      <c r="E1183" s="6">
        <v>366852.98134390998</v>
      </c>
      <c r="F1183" s="6">
        <v>6548793.9189887997</v>
      </c>
      <c r="G1183" s="7" t="str">
        <f>HYPERLINK("https://minkarta.lantmateriet.se/?e=366852,98134391&amp;n=6548793,9189888&amp;z=12&amp;profile=flygbildmedgranser&amp;background=2&amp;boundaries=true","Visa")</f>
        <v>Visa</v>
      </c>
      <c r="H1183" s="5" t="s">
        <v>8</v>
      </c>
      <c r="I1183" s="8">
        <v>43.31841</v>
      </c>
      <c r="J1183" s="9">
        <v>49.617049999999999</v>
      </c>
      <c r="K1183" s="9">
        <v>51.1858</v>
      </c>
      <c r="L1183" s="14">
        <v>44.227559999999997</v>
      </c>
      <c r="M1183" s="9">
        <v>50.07358</v>
      </c>
      <c r="N1183" s="9">
        <v>51.691299999999998</v>
      </c>
      <c r="O1183" s="14">
        <v>44.552</v>
      </c>
      <c r="P1183" s="9">
        <v>50.104660000000003</v>
      </c>
      <c r="Q1183" s="9">
        <v>51.720910000000003</v>
      </c>
      <c r="R1183" s="23">
        <v>40.763480000000001</v>
      </c>
      <c r="S1183" s="8">
        <v>0.32444000000000001</v>
      </c>
      <c r="T1183" s="9">
        <v>3.108E-2</v>
      </c>
      <c r="U1183" s="24">
        <v>2.9610000000000001E-2</v>
      </c>
    </row>
    <row r="1184" spans="1:21" ht="12" customHeight="1" x14ac:dyDescent="0.25">
      <c r="A1184" s="5">
        <v>2974</v>
      </c>
      <c r="B1184" s="19" t="s">
        <v>590</v>
      </c>
      <c r="C1184" s="19" t="s">
        <v>254</v>
      </c>
      <c r="D1184" s="5" t="s">
        <v>591</v>
      </c>
      <c r="E1184" s="6">
        <v>366852.17501483997</v>
      </c>
      <c r="F1184" s="6">
        <v>6548800.6168445004</v>
      </c>
      <c r="G1184" s="7" t="str">
        <f>HYPERLINK("https://minkarta.lantmateriet.se/?e=366852,17501484&amp;n=6548800,6168445&amp;z=12&amp;profile=flygbildmedgranser&amp;background=2&amp;boundaries=true","Visa")</f>
        <v>Visa</v>
      </c>
      <c r="H1184" s="5" t="s">
        <v>9</v>
      </c>
      <c r="I1184" s="8">
        <v>43.229599999999998</v>
      </c>
      <c r="J1184" s="9">
        <v>55.281480000000002</v>
      </c>
      <c r="K1184" s="9">
        <v>55.281480000000002</v>
      </c>
      <c r="L1184" s="14">
        <v>44.135660000000001</v>
      </c>
      <c r="M1184" s="9">
        <v>55.281480000000002</v>
      </c>
      <c r="N1184" s="9">
        <v>55.281480000000002</v>
      </c>
      <c r="O1184" s="14">
        <v>44.327080000000002</v>
      </c>
      <c r="P1184" s="9">
        <v>55.281480000000002</v>
      </c>
      <c r="Q1184" s="9">
        <v>55.281480000000002</v>
      </c>
      <c r="R1184" s="23">
        <v>35.479179999999999</v>
      </c>
      <c r="S1184" s="8">
        <v>0.19142000000000001</v>
      </c>
      <c r="T1184" s="9">
        <v>0</v>
      </c>
      <c r="U1184" s="24">
        <v>0</v>
      </c>
    </row>
    <row r="1185" spans="1:21" ht="12" customHeight="1" x14ac:dyDescent="0.25">
      <c r="A1185" s="5">
        <v>2975</v>
      </c>
      <c r="B1185" s="19" t="s">
        <v>590</v>
      </c>
      <c r="C1185" s="19" t="s">
        <v>254</v>
      </c>
      <c r="D1185" s="5" t="s">
        <v>591</v>
      </c>
      <c r="E1185" s="6">
        <v>366845.69665897998</v>
      </c>
      <c r="F1185" s="6">
        <v>6548798.7330165999</v>
      </c>
      <c r="G1185" s="7" t="str">
        <f>HYPERLINK("https://minkarta.lantmateriet.se/?e=366845,69665898&amp;n=6548798,7330166&amp;z=12&amp;profile=flygbildmedgranser&amp;background=2&amp;boundaries=true","Visa")</f>
        <v>Visa</v>
      </c>
      <c r="H1185" s="5" t="s">
        <v>10</v>
      </c>
      <c r="I1185" s="8">
        <v>46.06953</v>
      </c>
      <c r="J1185" s="9">
        <v>50.46951</v>
      </c>
      <c r="K1185" s="9">
        <v>52.038260000000001</v>
      </c>
      <c r="L1185" s="14">
        <v>46.980170000000001</v>
      </c>
      <c r="M1185" s="9">
        <v>50.92604</v>
      </c>
      <c r="N1185" s="9">
        <v>52.543759999999999</v>
      </c>
      <c r="O1185" s="14">
        <v>47.099290000000003</v>
      </c>
      <c r="P1185" s="9">
        <v>50.957120000000003</v>
      </c>
      <c r="Q1185" s="9">
        <v>52.573360000000001</v>
      </c>
      <c r="R1185" s="23">
        <v>28.614190000000001</v>
      </c>
      <c r="S1185" s="8">
        <v>0.11912</v>
      </c>
      <c r="T1185" s="9">
        <v>3.108E-2</v>
      </c>
      <c r="U1185" s="24">
        <v>2.9600000000000001E-2</v>
      </c>
    </row>
    <row r="1186" spans="1:21" ht="12" customHeight="1" x14ac:dyDescent="0.25">
      <c r="A1186" s="5">
        <v>2976</v>
      </c>
      <c r="B1186" s="19" t="s">
        <v>590</v>
      </c>
      <c r="C1186" s="19" t="s">
        <v>254</v>
      </c>
      <c r="D1186" s="5" t="s">
        <v>591</v>
      </c>
      <c r="E1186" s="6">
        <v>366846.50298821001</v>
      </c>
      <c r="F1186" s="6">
        <v>6548792.0351588</v>
      </c>
      <c r="G1186" s="7" t="str">
        <f>HYPERLINK("https://minkarta.lantmateriet.se/?e=366846,50298821&amp;n=6548792,0351588&amp;z=12&amp;profile=flygbildmedgranser&amp;background=2&amp;boundaries=true","Visa")</f>
        <v>Visa</v>
      </c>
      <c r="H1186" s="5" t="s">
        <v>11</v>
      </c>
      <c r="I1186" s="8">
        <v>46.3491</v>
      </c>
      <c r="J1186" s="9">
        <v>51.617669999999997</v>
      </c>
      <c r="K1186" s="9">
        <v>53.186419999999998</v>
      </c>
      <c r="L1186" s="14">
        <v>47.258749999999999</v>
      </c>
      <c r="M1186" s="9">
        <v>52.074199999999998</v>
      </c>
      <c r="N1186" s="9">
        <v>53.691920000000003</v>
      </c>
      <c r="O1186" s="14">
        <v>47.443899999999999</v>
      </c>
      <c r="P1186" s="9">
        <v>52.105269999999997</v>
      </c>
      <c r="Q1186" s="9">
        <v>53.721519999999998</v>
      </c>
      <c r="R1186" s="23">
        <v>38.684809999999999</v>
      </c>
      <c r="S1186" s="8">
        <v>0.18515000000000001</v>
      </c>
      <c r="T1186" s="9">
        <v>3.107E-2</v>
      </c>
      <c r="U1186" s="24">
        <v>2.9600000000000001E-2</v>
      </c>
    </row>
    <row r="1187" spans="1:21" ht="12" customHeight="1" x14ac:dyDescent="0.25">
      <c r="A1187" s="5">
        <v>2977</v>
      </c>
      <c r="B1187" s="19" t="s">
        <v>592</v>
      </c>
      <c r="C1187" s="19" t="s">
        <v>254</v>
      </c>
      <c r="D1187" s="5" t="s">
        <v>593</v>
      </c>
      <c r="E1187" s="6">
        <v>366843.08833638998</v>
      </c>
      <c r="F1187" s="6">
        <v>6548800.4239774002</v>
      </c>
      <c r="G1187" s="7" t="str">
        <f>HYPERLINK("https://minkarta.lantmateriet.se/?e=366843,08833639&amp;n=6548800,4239774&amp;z=12&amp;profile=flygbildmedgranser&amp;background=2&amp;boundaries=true","Visa")</f>
        <v>Visa</v>
      </c>
      <c r="H1187" s="5" t="s">
        <v>8</v>
      </c>
      <c r="I1187" s="8">
        <v>43.14076</v>
      </c>
      <c r="J1187" s="9">
        <v>50.674590000000002</v>
      </c>
      <c r="K1187" s="9">
        <v>50.674590000000002</v>
      </c>
      <c r="L1187" s="14">
        <v>44.048259999999999</v>
      </c>
      <c r="M1187" s="9">
        <v>50.674590000000002</v>
      </c>
      <c r="N1187" s="9">
        <v>50.674590000000002</v>
      </c>
      <c r="O1187" s="14">
        <v>44.399889999999999</v>
      </c>
      <c r="P1187" s="9">
        <v>50.741549999999997</v>
      </c>
      <c r="Q1187" s="9">
        <v>50.741549999999997</v>
      </c>
      <c r="R1187" s="23">
        <v>39.134549999999997</v>
      </c>
      <c r="S1187" s="8">
        <v>0.35163</v>
      </c>
      <c r="T1187" s="9">
        <v>6.6960000000000006E-2</v>
      </c>
      <c r="U1187" s="24">
        <v>6.6960000000000006E-2</v>
      </c>
    </row>
    <row r="1188" spans="1:21" ht="12" customHeight="1" x14ac:dyDescent="0.25">
      <c r="A1188" s="5">
        <v>2978</v>
      </c>
      <c r="B1188" s="19" t="s">
        <v>592</v>
      </c>
      <c r="C1188" s="19" t="s">
        <v>254</v>
      </c>
      <c r="D1188" s="5" t="s">
        <v>593</v>
      </c>
      <c r="E1188" s="6">
        <v>366842.34952464001</v>
      </c>
      <c r="F1188" s="6">
        <v>6548807.1118379999</v>
      </c>
      <c r="G1188" s="7" t="str">
        <f>HYPERLINK("https://minkarta.lantmateriet.se/?e=366842,34952464&amp;n=6548807,111838&amp;z=12&amp;profile=flygbildmedgranser&amp;background=2&amp;boundaries=true","Visa")</f>
        <v>Visa</v>
      </c>
      <c r="H1188" s="5" t="s">
        <v>9</v>
      </c>
      <c r="I1188" s="8">
        <v>44.159599999999998</v>
      </c>
      <c r="J1188" s="9">
        <v>58.18524</v>
      </c>
      <c r="K1188" s="9">
        <v>58.18524</v>
      </c>
      <c r="L1188" s="14">
        <v>45.06756</v>
      </c>
      <c r="M1188" s="9">
        <v>58.18524</v>
      </c>
      <c r="N1188" s="9">
        <v>58.18524</v>
      </c>
      <c r="O1188" s="14">
        <v>45.168480000000002</v>
      </c>
      <c r="P1188" s="9">
        <v>58.18524</v>
      </c>
      <c r="Q1188" s="9">
        <v>58.18524</v>
      </c>
      <c r="R1188" s="23">
        <v>33.55715</v>
      </c>
      <c r="S1188" s="8">
        <v>0.10092</v>
      </c>
      <c r="T1188" s="9">
        <v>0</v>
      </c>
      <c r="U1188" s="24">
        <v>0</v>
      </c>
    </row>
    <row r="1189" spans="1:21" ht="12" customHeight="1" x14ac:dyDescent="0.25">
      <c r="A1189" s="5">
        <v>2979</v>
      </c>
      <c r="B1189" s="19" t="s">
        <v>592</v>
      </c>
      <c r="C1189" s="19" t="s">
        <v>254</v>
      </c>
      <c r="D1189" s="5" t="s">
        <v>593</v>
      </c>
      <c r="E1189" s="6">
        <v>366835.90266442002</v>
      </c>
      <c r="F1189" s="6">
        <v>6548805.1855247999</v>
      </c>
      <c r="G1189" s="7" t="str">
        <f>HYPERLINK("https://minkarta.lantmateriet.se/?e=366835,90266442&amp;n=6548805,1855248&amp;z=12&amp;profile=flygbildmedgranser&amp;background=2&amp;boundaries=true","Visa")</f>
        <v>Visa</v>
      </c>
      <c r="H1189" s="5" t="s">
        <v>10</v>
      </c>
      <c r="I1189" s="8">
        <v>46.608879999999999</v>
      </c>
      <c r="J1189" s="9">
        <v>60.865049999999997</v>
      </c>
      <c r="K1189" s="9">
        <v>60.865049999999997</v>
      </c>
      <c r="L1189" s="14">
        <v>47.517440000000001</v>
      </c>
      <c r="M1189" s="9">
        <v>60.865049999999997</v>
      </c>
      <c r="N1189" s="9">
        <v>60.865049999999997</v>
      </c>
      <c r="O1189" s="14">
        <v>47.621090000000002</v>
      </c>
      <c r="P1189" s="9">
        <v>60.855289999999997</v>
      </c>
      <c r="Q1189" s="9">
        <v>60.855289999999997</v>
      </c>
      <c r="R1189" s="23">
        <v>34.702640000000002</v>
      </c>
      <c r="S1189" s="8">
        <v>0.10365000000000001</v>
      </c>
      <c r="T1189" s="9">
        <v>-9.7599999999999996E-3</v>
      </c>
      <c r="U1189" s="24">
        <v>-9.7599999999999996E-3</v>
      </c>
    </row>
    <row r="1190" spans="1:21" ht="12" customHeight="1" x14ac:dyDescent="0.25">
      <c r="A1190" s="5">
        <v>2980</v>
      </c>
      <c r="B1190" s="19" t="s">
        <v>592</v>
      </c>
      <c r="C1190" s="19" t="s">
        <v>254</v>
      </c>
      <c r="D1190" s="5" t="s">
        <v>593</v>
      </c>
      <c r="E1190" s="6">
        <v>366836.64147710003</v>
      </c>
      <c r="F1190" s="6">
        <v>6548798.4976661</v>
      </c>
      <c r="G1190" s="7" t="str">
        <f>HYPERLINK("https://minkarta.lantmateriet.se/?e=366836,6414771&amp;n=6548798,4976661&amp;z=12&amp;profile=flygbildmedgranser&amp;background=2&amp;boundaries=true","Visa")</f>
        <v>Visa</v>
      </c>
      <c r="H1190" s="5" t="s">
        <v>11</v>
      </c>
      <c r="I1190" s="8">
        <v>46.5456</v>
      </c>
      <c r="J1190" s="9">
        <v>53.055340000000001</v>
      </c>
      <c r="K1190" s="9">
        <v>54.140790000000003</v>
      </c>
      <c r="L1190" s="14">
        <v>47.454880000000003</v>
      </c>
      <c r="M1190" s="9">
        <v>53.055340000000001</v>
      </c>
      <c r="N1190" s="9">
        <v>54.64629</v>
      </c>
      <c r="O1190" s="14">
        <v>47.619790000000002</v>
      </c>
      <c r="P1190" s="9">
        <v>53.059649999999998</v>
      </c>
      <c r="Q1190" s="9">
        <v>54.675899999999999</v>
      </c>
      <c r="R1190" s="23">
        <v>38.436410000000002</v>
      </c>
      <c r="S1190" s="8">
        <v>0.16491</v>
      </c>
      <c r="T1190" s="9">
        <v>4.3099999999999996E-3</v>
      </c>
      <c r="U1190" s="24">
        <v>2.9610000000000001E-2</v>
      </c>
    </row>
    <row r="1191" spans="1:21" ht="12" customHeight="1" x14ac:dyDescent="0.25">
      <c r="A1191" s="5">
        <v>2981</v>
      </c>
      <c r="B1191" s="19" t="s">
        <v>594</v>
      </c>
      <c r="C1191" s="19" t="s">
        <v>254</v>
      </c>
      <c r="D1191" s="5" t="s">
        <v>595</v>
      </c>
      <c r="E1191" s="6">
        <v>366856.23279913998</v>
      </c>
      <c r="F1191" s="6">
        <v>6548816.9499215996</v>
      </c>
      <c r="G1191" s="7" t="str">
        <f>HYPERLINK("https://minkarta.lantmateriet.se/?e=366856,23279914&amp;n=6548816,9499216&amp;z=12&amp;profile=flygbildmedgranser&amp;background=2&amp;boundaries=true","Visa")</f>
        <v>Visa</v>
      </c>
      <c r="H1191" s="5" t="s">
        <v>8</v>
      </c>
      <c r="I1191" s="8">
        <v>40.600479999999997</v>
      </c>
      <c r="J1191" s="9">
        <v>47.185429999999997</v>
      </c>
      <c r="K1191" s="9">
        <v>48.754179999999998</v>
      </c>
      <c r="L1191" s="14">
        <v>41.510779999999997</v>
      </c>
      <c r="M1191" s="9">
        <v>47.641959999999997</v>
      </c>
      <c r="N1191" s="9">
        <v>49.259680000000003</v>
      </c>
      <c r="O1191" s="14">
        <v>41.754280000000001</v>
      </c>
      <c r="P1191" s="9">
        <v>47.67304</v>
      </c>
      <c r="Q1191" s="9">
        <v>49.289279999999998</v>
      </c>
      <c r="R1191" s="23">
        <v>34.704410000000003</v>
      </c>
      <c r="S1191" s="8">
        <v>0.24349999999999999</v>
      </c>
      <c r="T1191" s="9">
        <v>3.108E-2</v>
      </c>
      <c r="U1191" s="24">
        <v>2.9600000000000001E-2</v>
      </c>
    </row>
    <row r="1192" spans="1:21" ht="12" customHeight="1" x14ac:dyDescent="0.25">
      <c r="A1192" s="5">
        <v>2982</v>
      </c>
      <c r="B1192" s="19" t="s">
        <v>594</v>
      </c>
      <c r="C1192" s="19" t="s">
        <v>254</v>
      </c>
      <c r="D1192" s="5" t="s">
        <v>595</v>
      </c>
      <c r="E1192" s="6">
        <v>366854.32308270998</v>
      </c>
      <c r="F1192" s="6">
        <v>6548823.5282993</v>
      </c>
      <c r="G1192" s="7" t="str">
        <f>HYPERLINK("https://minkarta.lantmateriet.se/?e=366854,32308271&amp;n=6548823,5282993&amp;z=12&amp;profile=flygbildmedgranser&amp;background=2&amp;boundaries=true","Visa")</f>
        <v>Visa</v>
      </c>
      <c r="H1192" s="5" t="s">
        <v>9</v>
      </c>
      <c r="I1192" s="8">
        <v>42.576700000000002</v>
      </c>
      <c r="J1192" s="9">
        <v>53.730260000000001</v>
      </c>
      <c r="K1192" s="9">
        <v>53.730260000000001</v>
      </c>
      <c r="L1192" s="14">
        <v>43.485610000000001</v>
      </c>
      <c r="M1192" s="9">
        <v>53.730260000000001</v>
      </c>
      <c r="N1192" s="9">
        <v>53.730260000000001</v>
      </c>
      <c r="O1192" s="14">
        <v>43.592709999999997</v>
      </c>
      <c r="P1192" s="9">
        <v>53.730289999999997</v>
      </c>
      <c r="Q1192" s="9">
        <v>53.730289999999997</v>
      </c>
      <c r="R1192" s="23">
        <v>28.06005</v>
      </c>
      <c r="S1192" s="8">
        <v>0.1071</v>
      </c>
      <c r="T1192" s="9">
        <v>3.0000000000000001E-5</v>
      </c>
      <c r="U1192" s="24">
        <v>3.0000000000000001E-5</v>
      </c>
    </row>
    <row r="1193" spans="1:21" ht="12" customHeight="1" x14ac:dyDescent="0.25">
      <c r="A1193" s="5">
        <v>2983</v>
      </c>
      <c r="B1193" s="19" t="s">
        <v>594</v>
      </c>
      <c r="C1193" s="19" t="s">
        <v>254</v>
      </c>
      <c r="D1193" s="5" t="s">
        <v>595</v>
      </c>
      <c r="E1193" s="6">
        <v>366847.51070302998</v>
      </c>
      <c r="F1193" s="6">
        <v>6548822.8165825997</v>
      </c>
      <c r="G1193" s="7" t="str">
        <f>HYPERLINK("https://minkarta.lantmateriet.se/?e=366847,51070303&amp;n=6548822,8165826&amp;z=12&amp;profile=flygbildmedgranser&amp;background=2&amp;boundaries=true","Visa")</f>
        <v>Visa</v>
      </c>
      <c r="H1193" s="5" t="s">
        <v>10</v>
      </c>
      <c r="I1193" s="8">
        <v>46.029510000000002</v>
      </c>
      <c r="J1193" s="9">
        <v>59.330179999999999</v>
      </c>
      <c r="K1193" s="9">
        <v>59.330179999999999</v>
      </c>
      <c r="L1193" s="14">
        <v>46.933529999999998</v>
      </c>
      <c r="M1193" s="9">
        <v>59.330179999999999</v>
      </c>
      <c r="N1193" s="9">
        <v>59.330179999999999</v>
      </c>
      <c r="O1193" s="14">
        <v>47.04251</v>
      </c>
      <c r="P1193" s="9">
        <v>59.321849999999998</v>
      </c>
      <c r="Q1193" s="9">
        <v>59.321849999999998</v>
      </c>
      <c r="R1193" s="23">
        <v>33.603589999999997</v>
      </c>
      <c r="S1193" s="8">
        <v>0.10897999999999999</v>
      </c>
      <c r="T1193" s="9">
        <v>-8.3300000000000006E-3</v>
      </c>
      <c r="U1193" s="24">
        <v>-8.3300000000000006E-3</v>
      </c>
    </row>
    <row r="1194" spans="1:21" ht="12" customHeight="1" x14ac:dyDescent="0.25">
      <c r="A1194" s="5">
        <v>2984</v>
      </c>
      <c r="B1194" s="19" t="s">
        <v>594</v>
      </c>
      <c r="C1194" s="19" t="s">
        <v>254</v>
      </c>
      <c r="D1194" s="5" t="s">
        <v>595</v>
      </c>
      <c r="E1194" s="6">
        <v>366849.42042038997</v>
      </c>
      <c r="F1194" s="6">
        <v>6548816.2382039996</v>
      </c>
      <c r="G1194" s="7" t="str">
        <f>HYPERLINK("https://minkarta.lantmateriet.se/?e=366849,42042039&amp;n=6548816,238204&amp;z=12&amp;profile=flygbildmedgranser&amp;background=2&amp;boundaries=true","Visa")</f>
        <v>Visa</v>
      </c>
      <c r="H1194" s="5" t="s">
        <v>11</v>
      </c>
      <c r="I1194" s="8">
        <v>44.587470000000003</v>
      </c>
      <c r="J1194" s="9">
        <v>55.510800000000003</v>
      </c>
      <c r="K1194" s="9">
        <v>55.510800000000003</v>
      </c>
      <c r="L1194" s="14">
        <v>45.491930000000004</v>
      </c>
      <c r="M1194" s="9">
        <v>55.510800000000003</v>
      </c>
      <c r="N1194" s="9">
        <v>55.510800000000003</v>
      </c>
      <c r="O1194" s="14">
        <v>45.6708</v>
      </c>
      <c r="P1194" s="9">
        <v>55.510800000000003</v>
      </c>
      <c r="Q1194" s="9">
        <v>55.510800000000003</v>
      </c>
      <c r="R1194" s="23">
        <v>37.620359999999998</v>
      </c>
      <c r="S1194" s="8">
        <v>0.17887</v>
      </c>
      <c r="T1194" s="9">
        <v>0</v>
      </c>
      <c r="U1194" s="24">
        <v>0</v>
      </c>
    </row>
    <row r="1195" spans="1:21" ht="12" customHeight="1" x14ac:dyDescent="0.25">
      <c r="A1195" s="5">
        <v>2985</v>
      </c>
      <c r="B1195" s="19" t="s">
        <v>596</v>
      </c>
      <c r="C1195" s="19" t="s">
        <v>254</v>
      </c>
      <c r="D1195" s="5" t="s">
        <v>597</v>
      </c>
      <c r="E1195" s="6">
        <v>366862.71930083999</v>
      </c>
      <c r="F1195" s="6">
        <v>6548826.6259241002</v>
      </c>
      <c r="G1195" s="7" t="str">
        <f>HYPERLINK("https://minkarta.lantmateriet.se/?e=366862,71930084&amp;n=6548826,6259241&amp;z=12&amp;profile=flygbildmedgranser&amp;background=2&amp;boundaries=true","Visa")</f>
        <v>Visa</v>
      </c>
      <c r="H1195" s="5" t="s">
        <v>8</v>
      </c>
      <c r="I1195" s="8">
        <v>40.571469999999998</v>
      </c>
      <c r="J1195" s="9">
        <v>46.928359999999998</v>
      </c>
      <c r="K1195" s="9">
        <v>48.497109999999999</v>
      </c>
      <c r="L1195" s="14">
        <v>41.483359999999998</v>
      </c>
      <c r="M1195" s="9">
        <v>47.384880000000003</v>
      </c>
      <c r="N1195" s="9">
        <v>49.002609999999997</v>
      </c>
      <c r="O1195" s="14">
        <v>41.829439999999998</v>
      </c>
      <c r="P1195" s="9">
        <v>47.415970000000002</v>
      </c>
      <c r="Q1195" s="9">
        <v>49.032209999999999</v>
      </c>
      <c r="R1195" s="23">
        <v>36.729999999999997</v>
      </c>
      <c r="S1195" s="8">
        <v>0.34608</v>
      </c>
      <c r="T1195" s="9">
        <v>3.109E-2</v>
      </c>
      <c r="U1195" s="24">
        <v>2.9600000000000001E-2</v>
      </c>
    </row>
    <row r="1196" spans="1:21" ht="12" customHeight="1" x14ac:dyDescent="0.25">
      <c r="A1196" s="5">
        <v>2986</v>
      </c>
      <c r="B1196" s="19" t="s">
        <v>596</v>
      </c>
      <c r="C1196" s="19" t="s">
        <v>254</v>
      </c>
      <c r="D1196" s="5" t="s">
        <v>597</v>
      </c>
      <c r="E1196" s="6">
        <v>366860.77307872998</v>
      </c>
      <c r="F1196" s="6">
        <v>6548833.1623018999</v>
      </c>
      <c r="G1196" s="7" t="str">
        <f>HYPERLINK("https://minkarta.lantmateriet.se/?e=366860,77307873&amp;n=6548833,1623019&amp;z=12&amp;profile=flygbildmedgranser&amp;background=2&amp;boundaries=true","Visa")</f>
        <v>Visa</v>
      </c>
      <c r="H1196" s="5" t="s">
        <v>9</v>
      </c>
      <c r="I1196" s="8">
        <v>43.129939999999998</v>
      </c>
      <c r="J1196" s="9">
        <v>57.908029999999997</v>
      </c>
      <c r="K1196" s="9">
        <v>57.908029999999997</v>
      </c>
      <c r="L1196" s="14">
        <v>44.043869999999998</v>
      </c>
      <c r="M1196" s="9">
        <v>57.908029999999997</v>
      </c>
      <c r="N1196" s="9">
        <v>57.908029999999997</v>
      </c>
      <c r="O1196" s="14">
        <v>44.13503</v>
      </c>
      <c r="P1196" s="9">
        <v>57.908029999999997</v>
      </c>
      <c r="Q1196" s="9">
        <v>57.908029999999997</v>
      </c>
      <c r="R1196" s="23">
        <v>29.067019999999999</v>
      </c>
      <c r="S1196" s="8">
        <v>9.1160000000000005E-2</v>
      </c>
      <c r="T1196" s="9">
        <v>0</v>
      </c>
      <c r="U1196" s="24">
        <v>0</v>
      </c>
    </row>
    <row r="1197" spans="1:21" ht="12" customHeight="1" x14ac:dyDescent="0.25">
      <c r="A1197" s="5">
        <v>2987</v>
      </c>
      <c r="B1197" s="19" t="s">
        <v>596</v>
      </c>
      <c r="C1197" s="19" t="s">
        <v>254</v>
      </c>
      <c r="D1197" s="5" t="s">
        <v>597</v>
      </c>
      <c r="E1197" s="6">
        <v>366853.98570152</v>
      </c>
      <c r="F1197" s="6">
        <v>6548832.4955804003</v>
      </c>
      <c r="G1197" s="7" t="str">
        <f>HYPERLINK("https://minkarta.lantmateriet.se/?e=366853,98570152&amp;n=6548832,4955804&amp;z=12&amp;profile=flygbildmedgranser&amp;background=2&amp;boundaries=true","Visa")</f>
        <v>Visa</v>
      </c>
      <c r="H1197" s="5" t="s">
        <v>10</v>
      </c>
      <c r="I1197" s="8">
        <v>46.022320000000001</v>
      </c>
      <c r="J1197" s="9">
        <v>57.694029999999998</v>
      </c>
      <c r="K1197" s="9">
        <v>57.694029999999998</v>
      </c>
      <c r="L1197" s="14">
        <v>46.935929999999999</v>
      </c>
      <c r="M1197" s="9">
        <v>57.694029999999998</v>
      </c>
      <c r="N1197" s="9">
        <v>57.694029999999998</v>
      </c>
      <c r="O1197" s="14">
        <v>47.041020000000003</v>
      </c>
      <c r="P1197" s="9">
        <v>57.694029999999998</v>
      </c>
      <c r="Q1197" s="9">
        <v>57.694029999999998</v>
      </c>
      <c r="R1197" s="23">
        <v>31.205390000000001</v>
      </c>
      <c r="S1197" s="8">
        <v>0.10509</v>
      </c>
      <c r="T1197" s="9">
        <v>0</v>
      </c>
      <c r="U1197" s="24">
        <v>0</v>
      </c>
    </row>
    <row r="1198" spans="1:21" ht="12" customHeight="1" x14ac:dyDescent="0.25">
      <c r="A1198" s="5">
        <v>2988</v>
      </c>
      <c r="B1198" s="19" t="s">
        <v>596</v>
      </c>
      <c r="C1198" s="19" t="s">
        <v>254</v>
      </c>
      <c r="D1198" s="5" t="s">
        <v>597</v>
      </c>
      <c r="E1198" s="6">
        <v>366855.93192261999</v>
      </c>
      <c r="F1198" s="6">
        <v>6548825.9592025001</v>
      </c>
      <c r="G1198" s="7" t="str">
        <f>HYPERLINK("https://minkarta.lantmateriet.se/?e=366855,93192262&amp;n=6548825,9592025&amp;z=12&amp;profile=flygbildmedgranser&amp;background=2&amp;boundaries=true","Visa")</f>
        <v>Visa</v>
      </c>
      <c r="H1198" s="5" t="s">
        <v>11</v>
      </c>
      <c r="I1198" s="8">
        <v>42.616790000000002</v>
      </c>
      <c r="J1198" s="9">
        <v>56.005159999999997</v>
      </c>
      <c r="K1198" s="9">
        <v>56.005159999999997</v>
      </c>
      <c r="L1198" s="14">
        <v>43.524430000000002</v>
      </c>
      <c r="M1198" s="9">
        <v>56.005159999999997</v>
      </c>
      <c r="N1198" s="9">
        <v>56.005159999999997</v>
      </c>
      <c r="O1198" s="14">
        <v>43.640140000000002</v>
      </c>
      <c r="P1198" s="9">
        <v>56.005159999999997</v>
      </c>
      <c r="Q1198" s="9">
        <v>56.005159999999997</v>
      </c>
      <c r="R1198" s="23">
        <v>29.31841</v>
      </c>
      <c r="S1198" s="8">
        <v>0.11570999999999999</v>
      </c>
      <c r="T1198" s="9">
        <v>0</v>
      </c>
      <c r="U1198" s="24">
        <v>0</v>
      </c>
    </row>
    <row r="1199" spans="1:21" ht="12" customHeight="1" x14ac:dyDescent="0.25">
      <c r="A1199" s="5">
        <v>2989</v>
      </c>
      <c r="B1199" s="19" t="s">
        <v>598</v>
      </c>
      <c r="C1199" s="19" t="s">
        <v>254</v>
      </c>
      <c r="D1199" s="5" t="s">
        <v>599</v>
      </c>
      <c r="E1199" s="6">
        <v>366862.52044383</v>
      </c>
      <c r="F1199" s="6">
        <v>6548835.7226882996</v>
      </c>
      <c r="G1199" s="7" t="str">
        <f>HYPERLINK("https://minkarta.lantmateriet.se/?e=366862,52044383&amp;n=6548835,7226883&amp;z=12&amp;profile=flygbildmedgranser&amp;background=2&amp;boundaries=true","Visa")</f>
        <v>Visa</v>
      </c>
      <c r="H1199" s="5" t="s">
        <v>11</v>
      </c>
      <c r="I1199" s="8">
        <v>43.412010000000002</v>
      </c>
      <c r="J1199" s="9">
        <v>58.8249</v>
      </c>
      <c r="K1199" s="9">
        <v>58.8249</v>
      </c>
      <c r="L1199" s="14">
        <v>44.322119999999998</v>
      </c>
      <c r="M1199" s="9">
        <v>58.8249</v>
      </c>
      <c r="N1199" s="9">
        <v>58.8249</v>
      </c>
      <c r="O1199" s="14">
        <v>44.426609999999997</v>
      </c>
      <c r="P1199" s="9">
        <v>58.824939999999998</v>
      </c>
      <c r="Q1199" s="9">
        <v>58.824939999999998</v>
      </c>
      <c r="R1199" s="23">
        <v>29.624369999999999</v>
      </c>
      <c r="S1199" s="8">
        <v>0.10449</v>
      </c>
      <c r="T1199" s="9">
        <v>4.0000000000000003E-5</v>
      </c>
      <c r="U1199" s="24">
        <v>4.0000000000000003E-5</v>
      </c>
    </row>
    <row r="1200" spans="1:21" ht="12" customHeight="1" x14ac:dyDescent="0.25">
      <c r="A1200" s="5">
        <v>2990</v>
      </c>
      <c r="B1200" s="19" t="s">
        <v>598</v>
      </c>
      <c r="C1200" s="19" t="s">
        <v>254</v>
      </c>
      <c r="D1200" s="5" t="s">
        <v>599</v>
      </c>
      <c r="E1200" s="6">
        <v>366869.28031474998</v>
      </c>
      <c r="F1200" s="6">
        <v>6548836.4239448998</v>
      </c>
      <c r="G1200" s="7" t="str">
        <f>HYPERLINK("https://minkarta.lantmateriet.se/?e=366869,28031475&amp;n=6548836,4239449&amp;z=12&amp;profile=flygbildmedgranser&amp;background=2&amp;boundaries=true","Visa")</f>
        <v>Visa</v>
      </c>
      <c r="H1200" s="5" t="s">
        <v>8</v>
      </c>
      <c r="I1200" s="8">
        <v>41.345869999999998</v>
      </c>
      <c r="J1200" s="9">
        <v>47.818869999999997</v>
      </c>
      <c r="K1200" s="9">
        <v>49.387619999999998</v>
      </c>
      <c r="L1200" s="14">
        <v>42.256459999999997</v>
      </c>
      <c r="M1200" s="9">
        <v>48.275399999999998</v>
      </c>
      <c r="N1200" s="9">
        <v>49.893120000000003</v>
      </c>
      <c r="O1200" s="14">
        <v>42.569090000000003</v>
      </c>
      <c r="P1200" s="9">
        <v>48.306480000000001</v>
      </c>
      <c r="Q1200" s="9">
        <v>49.922730000000001</v>
      </c>
      <c r="R1200" s="23">
        <v>37.075310000000002</v>
      </c>
      <c r="S1200" s="8">
        <v>0.31263000000000002</v>
      </c>
      <c r="T1200" s="9">
        <v>3.108E-2</v>
      </c>
      <c r="U1200" s="24">
        <v>2.9610000000000001E-2</v>
      </c>
    </row>
    <row r="1201" spans="1:21" ht="12" customHeight="1" x14ac:dyDescent="0.25">
      <c r="A1201" s="5">
        <v>2991</v>
      </c>
      <c r="B1201" s="19" t="s">
        <v>598</v>
      </c>
      <c r="C1201" s="19" t="s">
        <v>254</v>
      </c>
      <c r="D1201" s="5" t="s">
        <v>599</v>
      </c>
      <c r="E1201" s="6">
        <v>366867.34355749999</v>
      </c>
      <c r="F1201" s="6">
        <v>6548842.9378161998</v>
      </c>
      <c r="G1201" s="7" t="str">
        <f>HYPERLINK("https://minkarta.lantmateriet.se/?e=366867,3435575&amp;n=6548842,9378162&amp;z=12&amp;profile=flygbildmedgranser&amp;background=2&amp;boundaries=true","Visa")</f>
        <v>Visa</v>
      </c>
      <c r="H1201" s="5" t="s">
        <v>9</v>
      </c>
      <c r="I1201" s="8">
        <v>41.926029999999997</v>
      </c>
      <c r="J1201" s="9">
        <v>57.186120000000003</v>
      </c>
      <c r="K1201" s="9">
        <v>57.186120000000003</v>
      </c>
      <c r="L1201" s="14">
        <v>42.83972</v>
      </c>
      <c r="M1201" s="9">
        <v>57.186120000000003</v>
      </c>
      <c r="N1201" s="9">
        <v>57.186120000000003</v>
      </c>
      <c r="O1201" s="14">
        <v>43.001759999999997</v>
      </c>
      <c r="P1201" s="9">
        <v>57.186120000000003</v>
      </c>
      <c r="Q1201" s="9">
        <v>57.186120000000003</v>
      </c>
      <c r="R1201" s="23">
        <v>34.073340000000002</v>
      </c>
      <c r="S1201" s="8">
        <v>0.16203999999999999</v>
      </c>
      <c r="T1201" s="9">
        <v>0</v>
      </c>
      <c r="U1201" s="24">
        <v>0</v>
      </c>
    </row>
    <row r="1202" spans="1:21" ht="12" customHeight="1" x14ac:dyDescent="0.25">
      <c r="A1202" s="5">
        <v>2992</v>
      </c>
      <c r="B1202" s="19" t="s">
        <v>598</v>
      </c>
      <c r="C1202" s="19" t="s">
        <v>254</v>
      </c>
      <c r="D1202" s="5" t="s">
        <v>599</v>
      </c>
      <c r="E1202" s="6">
        <v>366860.58368760999</v>
      </c>
      <c r="F1202" s="6">
        <v>6548842.2365597002</v>
      </c>
      <c r="G1202" s="7" t="str">
        <f>HYPERLINK("https://minkarta.lantmateriet.se/?e=366860,58368761&amp;n=6548842,2365597&amp;z=12&amp;profile=flygbildmedgranser&amp;background=2&amp;boundaries=true","Visa")</f>
        <v>Visa</v>
      </c>
      <c r="H1202" s="5" t="s">
        <v>10</v>
      </c>
      <c r="I1202" s="8">
        <v>45.472969999999997</v>
      </c>
      <c r="J1202" s="9">
        <v>58.608809999999998</v>
      </c>
      <c r="K1202" s="9">
        <v>58.608809999999998</v>
      </c>
      <c r="L1202" s="14">
        <v>46.37809</v>
      </c>
      <c r="M1202" s="9">
        <v>58.608809999999998</v>
      </c>
      <c r="N1202" s="9">
        <v>58.608809999999998</v>
      </c>
      <c r="O1202" s="14">
        <v>46.537219999999998</v>
      </c>
      <c r="P1202" s="9">
        <v>58.608809999999998</v>
      </c>
      <c r="Q1202" s="9">
        <v>58.608809999999998</v>
      </c>
      <c r="R1202" s="23">
        <v>34.082259999999998</v>
      </c>
      <c r="S1202" s="8">
        <v>0.15912999999999999</v>
      </c>
      <c r="T1202" s="9">
        <v>0</v>
      </c>
      <c r="U1202" s="24">
        <v>0</v>
      </c>
    </row>
    <row r="1203" spans="1:21" ht="12" customHeight="1" x14ac:dyDescent="0.25">
      <c r="A1203" s="5">
        <v>2993</v>
      </c>
      <c r="B1203" s="19" t="s">
        <v>600</v>
      </c>
      <c r="C1203" s="19" t="s">
        <v>254</v>
      </c>
      <c r="D1203" s="5" t="s">
        <v>601</v>
      </c>
      <c r="E1203" s="6">
        <v>366903.56384259998</v>
      </c>
      <c r="F1203" s="6">
        <v>6548831.2959868005</v>
      </c>
      <c r="G1203" s="7" t="str">
        <f>HYPERLINK("https://minkarta.lantmateriet.se/?e=366903,5638426&amp;n=6548831,2959868&amp;z=12&amp;profile=flygbildmedgranser&amp;background=2&amp;boundaries=true","Visa")</f>
        <v>Visa</v>
      </c>
      <c r="H1203" s="5" t="s">
        <v>8</v>
      </c>
      <c r="I1203" s="8">
        <v>40.187899999999999</v>
      </c>
      <c r="J1203" s="9">
        <v>46.470570000000002</v>
      </c>
      <c r="K1203" s="9">
        <v>48.03931</v>
      </c>
      <c r="L1203" s="14">
        <v>41.099730000000001</v>
      </c>
      <c r="M1203" s="9">
        <v>46.92709</v>
      </c>
      <c r="N1203" s="9">
        <v>48.544820000000001</v>
      </c>
      <c r="O1203" s="14">
        <v>41.311779999999999</v>
      </c>
      <c r="P1203" s="9">
        <v>46.958179999999999</v>
      </c>
      <c r="Q1203" s="9">
        <v>48.574420000000003</v>
      </c>
      <c r="R1203" s="23">
        <v>32.662579999999998</v>
      </c>
      <c r="S1203" s="8">
        <v>0.21204999999999999</v>
      </c>
      <c r="T1203" s="9">
        <v>3.109E-2</v>
      </c>
      <c r="U1203" s="24">
        <v>2.9600000000000001E-2</v>
      </c>
    </row>
    <row r="1204" spans="1:21" ht="12" customHeight="1" x14ac:dyDescent="0.25">
      <c r="A1204" s="5">
        <v>2994</v>
      </c>
      <c r="B1204" s="19" t="s">
        <v>600</v>
      </c>
      <c r="C1204" s="19" t="s">
        <v>254</v>
      </c>
      <c r="D1204" s="5" t="s">
        <v>601</v>
      </c>
      <c r="E1204" s="6">
        <v>366901.63401694997</v>
      </c>
      <c r="F1204" s="6">
        <v>6548837.7718431</v>
      </c>
      <c r="G1204" s="7" t="str">
        <f>HYPERLINK("https://minkarta.lantmateriet.se/?e=366901,63401695&amp;n=6548837,7718431&amp;z=12&amp;profile=flygbildmedgranser&amp;background=2&amp;boundaries=true","Visa")</f>
        <v>Visa</v>
      </c>
      <c r="H1204" s="5" t="s">
        <v>9</v>
      </c>
      <c r="I1204" s="8">
        <v>42.044820000000001</v>
      </c>
      <c r="J1204" s="9">
        <v>53.782400000000003</v>
      </c>
      <c r="K1204" s="9">
        <v>55.351149999999997</v>
      </c>
      <c r="L1204" s="14">
        <v>42.957059999999998</v>
      </c>
      <c r="M1204" s="9">
        <v>54.238930000000003</v>
      </c>
      <c r="N1204" s="9">
        <v>55.856650000000002</v>
      </c>
      <c r="O1204" s="14">
        <v>43.07743</v>
      </c>
      <c r="P1204" s="9">
        <v>54.270009999999999</v>
      </c>
      <c r="Q1204" s="9">
        <v>55.886249999999997</v>
      </c>
      <c r="R1204" s="23">
        <v>32.147910000000003</v>
      </c>
      <c r="S1204" s="8">
        <v>0.12037</v>
      </c>
      <c r="T1204" s="9">
        <v>3.108E-2</v>
      </c>
      <c r="U1204" s="24">
        <v>2.9600000000000001E-2</v>
      </c>
    </row>
    <row r="1205" spans="1:21" ht="12" customHeight="1" x14ac:dyDescent="0.25">
      <c r="A1205" s="5">
        <v>2995</v>
      </c>
      <c r="B1205" s="19" t="s">
        <v>600</v>
      </c>
      <c r="C1205" s="19" t="s">
        <v>254</v>
      </c>
      <c r="D1205" s="5" t="s">
        <v>601</v>
      </c>
      <c r="E1205" s="6">
        <v>366894.91916047002</v>
      </c>
      <c r="F1205" s="6">
        <v>6548837.0120187998</v>
      </c>
      <c r="G1205" s="7" t="str">
        <f>HYPERLINK("https://minkarta.lantmateriet.se/?e=366894,91916047&amp;n=6548837,0120188&amp;z=12&amp;profile=flygbildmedgranser&amp;background=2&amp;boundaries=true","Visa")</f>
        <v>Visa</v>
      </c>
      <c r="H1205" s="5" t="s">
        <v>10</v>
      </c>
      <c r="I1205" s="8">
        <v>43.83719</v>
      </c>
      <c r="J1205" s="9">
        <v>52.922220000000003</v>
      </c>
      <c r="K1205" s="9">
        <v>52.922220000000003</v>
      </c>
      <c r="L1205" s="14">
        <v>44.748159999999999</v>
      </c>
      <c r="M1205" s="9">
        <v>52.922220000000003</v>
      </c>
      <c r="N1205" s="9">
        <v>52.922220000000003</v>
      </c>
      <c r="O1205" s="14">
        <v>44.840679999999999</v>
      </c>
      <c r="P1205" s="9">
        <v>52.922220000000003</v>
      </c>
      <c r="Q1205" s="9">
        <v>52.922220000000003</v>
      </c>
      <c r="R1205" s="23">
        <v>26.372260000000001</v>
      </c>
      <c r="S1205" s="8">
        <v>9.2520000000000005E-2</v>
      </c>
      <c r="T1205" s="9">
        <v>0</v>
      </c>
      <c r="U1205" s="24">
        <v>0</v>
      </c>
    </row>
    <row r="1206" spans="1:21" ht="12" customHeight="1" x14ac:dyDescent="0.25">
      <c r="A1206" s="5">
        <v>2996</v>
      </c>
      <c r="B1206" s="19" t="s">
        <v>600</v>
      </c>
      <c r="C1206" s="19" t="s">
        <v>254</v>
      </c>
      <c r="D1206" s="5" t="s">
        <v>601</v>
      </c>
      <c r="E1206" s="6">
        <v>366896.84898593999</v>
      </c>
      <c r="F1206" s="6">
        <v>6548830.5361602996</v>
      </c>
      <c r="G1206" s="7" t="str">
        <f>HYPERLINK("https://minkarta.lantmateriet.se/?e=366896,84898594&amp;n=6548830,5361603&amp;z=12&amp;profile=flygbildmedgranser&amp;background=2&amp;boundaries=true","Visa")</f>
        <v>Visa</v>
      </c>
      <c r="H1206" s="5" t="s">
        <v>11</v>
      </c>
      <c r="I1206" s="8">
        <v>42.770420000000001</v>
      </c>
      <c r="J1206" s="9">
        <v>49.77664</v>
      </c>
      <c r="K1206" s="9">
        <v>51.345390000000002</v>
      </c>
      <c r="L1206" s="14">
        <v>43.682810000000003</v>
      </c>
      <c r="M1206" s="9">
        <v>50.233170000000001</v>
      </c>
      <c r="N1206" s="9">
        <v>51.85089</v>
      </c>
      <c r="O1206" s="14">
        <v>43.780369999999998</v>
      </c>
      <c r="P1206" s="9">
        <v>50.264249999999997</v>
      </c>
      <c r="Q1206" s="9">
        <v>51.880490000000002</v>
      </c>
      <c r="R1206" s="23">
        <v>31.77815</v>
      </c>
      <c r="S1206" s="8">
        <v>9.7559999999999994E-2</v>
      </c>
      <c r="T1206" s="9">
        <v>3.108E-2</v>
      </c>
      <c r="U1206" s="24">
        <v>2.9600000000000001E-2</v>
      </c>
    </row>
    <row r="1207" spans="1:21" ht="12" customHeight="1" x14ac:dyDescent="0.25">
      <c r="A1207" s="5">
        <v>2997</v>
      </c>
      <c r="B1207" s="19" t="s">
        <v>602</v>
      </c>
      <c r="C1207" s="19" t="s">
        <v>254</v>
      </c>
      <c r="D1207" s="5" t="s">
        <v>603</v>
      </c>
      <c r="E1207" s="6">
        <v>366893.65081064001</v>
      </c>
      <c r="F1207" s="6">
        <v>6548823.9054386998</v>
      </c>
      <c r="G1207" s="7" t="str">
        <f>HYPERLINK("https://minkarta.lantmateriet.se/?e=366893,65081064&amp;n=6548823,9054387&amp;z=12&amp;profile=flygbildmedgranser&amp;background=2&amp;boundaries=true","Visa")</f>
        <v>Visa</v>
      </c>
      <c r="H1207" s="5" t="s">
        <v>8</v>
      </c>
      <c r="I1207" s="8">
        <v>40.803669999999997</v>
      </c>
      <c r="J1207" s="9">
        <v>46.91863</v>
      </c>
      <c r="K1207" s="9">
        <v>48.487380000000002</v>
      </c>
      <c r="L1207" s="14">
        <v>41.7151</v>
      </c>
      <c r="M1207" s="9">
        <v>47.375160000000001</v>
      </c>
      <c r="N1207" s="9">
        <v>48.99288</v>
      </c>
      <c r="O1207" s="14">
        <v>41.888500000000001</v>
      </c>
      <c r="P1207" s="9">
        <v>47.406239999999997</v>
      </c>
      <c r="Q1207" s="9">
        <v>49.022480000000002</v>
      </c>
      <c r="R1207" s="23">
        <v>32.805689999999998</v>
      </c>
      <c r="S1207" s="8">
        <v>0.1734</v>
      </c>
      <c r="T1207" s="9">
        <v>3.108E-2</v>
      </c>
      <c r="U1207" s="24">
        <v>2.9600000000000001E-2</v>
      </c>
    </row>
    <row r="1208" spans="1:21" ht="12" customHeight="1" x14ac:dyDescent="0.25">
      <c r="A1208" s="5">
        <v>2998</v>
      </c>
      <c r="B1208" s="19" t="s">
        <v>602</v>
      </c>
      <c r="C1208" s="19" t="s">
        <v>254</v>
      </c>
      <c r="D1208" s="5" t="s">
        <v>603</v>
      </c>
      <c r="E1208" s="6">
        <v>366891.75656317</v>
      </c>
      <c r="F1208" s="6">
        <v>6548830.3883124003</v>
      </c>
      <c r="G1208" s="7" t="str">
        <f>HYPERLINK("https://minkarta.lantmateriet.se/?e=366891,75656317&amp;n=6548830,3883124&amp;z=12&amp;profile=flygbildmedgranser&amp;background=2&amp;boundaries=true","Visa")</f>
        <v>Visa</v>
      </c>
      <c r="H1208" s="5" t="s">
        <v>9</v>
      </c>
      <c r="I1208" s="8">
        <v>41.858629999999998</v>
      </c>
      <c r="J1208" s="9">
        <v>49.290149999999997</v>
      </c>
      <c r="K1208" s="9">
        <v>50.858899999999998</v>
      </c>
      <c r="L1208" s="14">
        <v>42.768369999999997</v>
      </c>
      <c r="M1208" s="9">
        <v>49.746679999999998</v>
      </c>
      <c r="N1208" s="9">
        <v>51.364400000000003</v>
      </c>
      <c r="O1208" s="14">
        <v>42.852890000000002</v>
      </c>
      <c r="P1208" s="9">
        <v>49.777760000000001</v>
      </c>
      <c r="Q1208" s="9">
        <v>51.393999999999998</v>
      </c>
      <c r="R1208" s="23">
        <v>26.64573</v>
      </c>
      <c r="S1208" s="8">
        <v>8.4519999999999998E-2</v>
      </c>
      <c r="T1208" s="9">
        <v>3.108E-2</v>
      </c>
      <c r="U1208" s="24">
        <v>2.9600000000000001E-2</v>
      </c>
    </row>
    <row r="1209" spans="1:21" ht="12" customHeight="1" x14ac:dyDescent="0.25">
      <c r="A1209" s="5">
        <v>2999</v>
      </c>
      <c r="B1209" s="19" t="s">
        <v>602</v>
      </c>
      <c r="C1209" s="19" t="s">
        <v>254</v>
      </c>
      <c r="D1209" s="5" t="s">
        <v>603</v>
      </c>
      <c r="E1209" s="6">
        <v>366885.04019172001</v>
      </c>
      <c r="F1209" s="6">
        <v>6548829.6690657996</v>
      </c>
      <c r="G1209" s="7" t="str">
        <f>HYPERLINK("https://minkarta.lantmateriet.se/?e=366885,04019172&amp;n=6548829,6690658&amp;z=12&amp;profile=flygbildmedgranser&amp;background=2&amp;boundaries=true","Visa")</f>
        <v>Visa</v>
      </c>
      <c r="H1209" s="5" t="s">
        <v>10</v>
      </c>
      <c r="I1209" s="8">
        <v>42.946550000000002</v>
      </c>
      <c r="J1209" s="9">
        <v>51.706659999999999</v>
      </c>
      <c r="K1209" s="9">
        <v>53.275410000000001</v>
      </c>
      <c r="L1209" s="14">
        <v>43.85913</v>
      </c>
      <c r="M1209" s="9">
        <v>52.16319</v>
      </c>
      <c r="N1209" s="9">
        <v>53.780909999999999</v>
      </c>
      <c r="O1209" s="14">
        <v>43.972479999999997</v>
      </c>
      <c r="P1209" s="9">
        <v>52.194270000000003</v>
      </c>
      <c r="Q1209" s="9">
        <v>53.810510000000001</v>
      </c>
      <c r="R1209" s="23">
        <v>31.434650000000001</v>
      </c>
      <c r="S1209" s="8">
        <v>0.11335000000000001</v>
      </c>
      <c r="T1209" s="9">
        <v>3.108E-2</v>
      </c>
      <c r="U1209" s="24">
        <v>2.9600000000000001E-2</v>
      </c>
    </row>
    <row r="1210" spans="1:21" ht="12" customHeight="1" x14ac:dyDescent="0.25">
      <c r="A1210" s="5">
        <v>3000</v>
      </c>
      <c r="B1210" s="19" t="s">
        <v>602</v>
      </c>
      <c r="C1210" s="19" t="s">
        <v>254</v>
      </c>
      <c r="D1210" s="5" t="s">
        <v>603</v>
      </c>
      <c r="E1210" s="6">
        <v>366886.93443816999</v>
      </c>
      <c r="F1210" s="6">
        <v>6548823.1861920999</v>
      </c>
      <c r="G1210" s="7" t="str">
        <f>HYPERLINK("https://minkarta.lantmateriet.se/?e=366886,93443817&amp;n=6548823,1861921&amp;z=12&amp;profile=flygbildmedgranser&amp;background=2&amp;boundaries=true","Visa")</f>
        <v>Visa</v>
      </c>
      <c r="H1210" s="5" t="s">
        <v>11</v>
      </c>
      <c r="I1210" s="8">
        <v>42.669960000000003</v>
      </c>
      <c r="J1210" s="9">
        <v>50.15354</v>
      </c>
      <c r="K1210" s="9">
        <v>51.722290000000001</v>
      </c>
      <c r="L1210" s="14">
        <v>43.58473</v>
      </c>
      <c r="M1210" s="9">
        <v>50.61007</v>
      </c>
      <c r="N1210" s="9">
        <v>52.227789999999999</v>
      </c>
      <c r="O1210" s="14">
        <v>43.738239999999998</v>
      </c>
      <c r="P1210" s="9">
        <v>50.641150000000003</v>
      </c>
      <c r="Q1210" s="9">
        <v>52.257390000000001</v>
      </c>
      <c r="R1210" s="23">
        <v>33.776519999999998</v>
      </c>
      <c r="S1210" s="8">
        <v>0.15351000000000001</v>
      </c>
      <c r="T1210" s="9">
        <v>3.108E-2</v>
      </c>
      <c r="U1210" s="24">
        <v>2.9600000000000001E-2</v>
      </c>
    </row>
    <row r="1211" spans="1:21" ht="12" customHeight="1" x14ac:dyDescent="0.25">
      <c r="A1211" s="5">
        <v>3001</v>
      </c>
      <c r="B1211" s="19" t="s">
        <v>604</v>
      </c>
      <c r="C1211" s="19" t="s">
        <v>254</v>
      </c>
      <c r="D1211" s="5" t="s">
        <v>605</v>
      </c>
      <c r="E1211" s="6">
        <v>366883.51682699</v>
      </c>
      <c r="F1211" s="6">
        <v>6548816.5179631999</v>
      </c>
      <c r="G1211" s="7" t="str">
        <f>HYPERLINK("https://minkarta.lantmateriet.se/?e=366883,51682699&amp;n=6548816,5179632&amp;z=12&amp;profile=flygbildmedgranser&amp;background=2&amp;boundaries=true","Visa")</f>
        <v>Visa</v>
      </c>
      <c r="H1211" s="5" t="s">
        <v>8</v>
      </c>
      <c r="I1211" s="8">
        <v>41.387070000000001</v>
      </c>
      <c r="J1211" s="9">
        <v>47.19379</v>
      </c>
      <c r="K1211" s="9">
        <v>48.762540000000001</v>
      </c>
      <c r="L1211" s="14">
        <v>42.297319999999999</v>
      </c>
      <c r="M1211" s="9">
        <v>47.650320000000001</v>
      </c>
      <c r="N1211" s="9">
        <v>49.268039999999999</v>
      </c>
      <c r="O1211" s="14">
        <v>42.563870000000001</v>
      </c>
      <c r="P1211" s="9">
        <v>47.681399999999996</v>
      </c>
      <c r="Q1211" s="9">
        <v>49.297649999999997</v>
      </c>
      <c r="R1211" s="23">
        <v>36.174750000000003</v>
      </c>
      <c r="S1211" s="8">
        <v>0.26655000000000001</v>
      </c>
      <c r="T1211" s="9">
        <v>3.108E-2</v>
      </c>
      <c r="U1211" s="24">
        <v>2.9610000000000001E-2</v>
      </c>
    </row>
    <row r="1212" spans="1:21" ht="12" customHeight="1" x14ac:dyDescent="0.25">
      <c r="A1212" s="5">
        <v>3002</v>
      </c>
      <c r="B1212" s="19" t="s">
        <v>604</v>
      </c>
      <c r="C1212" s="19" t="s">
        <v>254</v>
      </c>
      <c r="D1212" s="5" t="s">
        <v>605</v>
      </c>
      <c r="E1212" s="6">
        <v>366881.59753910999</v>
      </c>
      <c r="F1212" s="6">
        <v>6548823.0203283997</v>
      </c>
      <c r="G1212" s="7" t="str">
        <f>HYPERLINK("https://minkarta.lantmateriet.se/?e=366881,59753911&amp;n=6548823,0203284&amp;z=12&amp;profile=flygbildmedgranser&amp;background=2&amp;boundaries=true","Visa")</f>
        <v>Visa</v>
      </c>
      <c r="H1212" s="5" t="s">
        <v>9</v>
      </c>
      <c r="I1212" s="8">
        <v>41.548369999999998</v>
      </c>
      <c r="J1212" s="9">
        <v>46.34449</v>
      </c>
      <c r="K1212" s="9">
        <v>47.913240000000002</v>
      </c>
      <c r="L1212" s="14">
        <v>42.463030000000003</v>
      </c>
      <c r="M1212" s="9">
        <v>46.801020000000001</v>
      </c>
      <c r="N1212" s="9">
        <v>48.41874</v>
      </c>
      <c r="O1212" s="14">
        <v>42.568689999999997</v>
      </c>
      <c r="P1212" s="9">
        <v>46.832099999999997</v>
      </c>
      <c r="Q1212" s="9">
        <v>48.448340000000002</v>
      </c>
      <c r="R1212" s="23">
        <v>34.23518</v>
      </c>
      <c r="S1212" s="8">
        <v>0.10566</v>
      </c>
      <c r="T1212" s="9">
        <v>3.108E-2</v>
      </c>
      <c r="U1212" s="24">
        <v>2.9600000000000001E-2</v>
      </c>
    </row>
    <row r="1213" spans="1:21" ht="12" customHeight="1" x14ac:dyDescent="0.25">
      <c r="A1213" s="5">
        <v>3003</v>
      </c>
      <c r="B1213" s="19" t="s">
        <v>604</v>
      </c>
      <c r="C1213" s="19" t="s">
        <v>254</v>
      </c>
      <c r="D1213" s="5" t="s">
        <v>605</v>
      </c>
      <c r="E1213" s="6">
        <v>366874.85867376998</v>
      </c>
      <c r="F1213" s="6">
        <v>6548822.2760389</v>
      </c>
      <c r="G1213" s="7" t="str">
        <f>HYPERLINK("https://minkarta.lantmateriet.se/?e=366874,85867377&amp;n=6548822,2760389&amp;z=12&amp;profile=flygbildmedgranser&amp;background=2&amp;boundaries=true","Visa")</f>
        <v>Visa</v>
      </c>
      <c r="H1213" s="5" t="s">
        <v>10</v>
      </c>
      <c r="I1213" s="8">
        <v>42.148560000000003</v>
      </c>
      <c r="J1213" s="9">
        <v>53.97784</v>
      </c>
      <c r="K1213" s="9">
        <v>53.97784</v>
      </c>
      <c r="L1213" s="14">
        <v>43.058639999999997</v>
      </c>
      <c r="M1213" s="9">
        <v>53.97784</v>
      </c>
      <c r="N1213" s="9">
        <v>53.97784</v>
      </c>
      <c r="O1213" s="14">
        <v>43.26276</v>
      </c>
      <c r="P1213" s="9">
        <v>53.97784</v>
      </c>
      <c r="Q1213" s="9">
        <v>53.97784</v>
      </c>
      <c r="R1213" s="23">
        <v>36.193860000000001</v>
      </c>
      <c r="S1213" s="8">
        <v>0.20412</v>
      </c>
      <c r="T1213" s="9">
        <v>0</v>
      </c>
      <c r="U1213" s="24">
        <v>0</v>
      </c>
    </row>
    <row r="1214" spans="1:21" ht="12" customHeight="1" x14ac:dyDescent="0.25">
      <c r="A1214" s="5">
        <v>3004</v>
      </c>
      <c r="B1214" s="19" t="s">
        <v>604</v>
      </c>
      <c r="C1214" s="19" t="s">
        <v>254</v>
      </c>
      <c r="D1214" s="5" t="s">
        <v>605</v>
      </c>
      <c r="E1214" s="6">
        <v>366876.77796378999</v>
      </c>
      <c r="F1214" s="6">
        <v>6548815.7736750003</v>
      </c>
      <c r="G1214" s="7" t="str">
        <f>HYPERLINK("https://minkarta.lantmateriet.se/?e=366876,77796379&amp;n=6548815,773675&amp;z=12&amp;profile=flygbildmedgranser&amp;background=2&amp;boundaries=true","Visa")</f>
        <v>Visa</v>
      </c>
      <c r="H1214" s="5" t="s">
        <v>11</v>
      </c>
      <c r="I1214" s="8">
        <v>42.704270000000001</v>
      </c>
      <c r="J1214" s="9">
        <v>49.619599999999998</v>
      </c>
      <c r="K1214" s="9">
        <v>51.18835</v>
      </c>
      <c r="L1214" s="14">
        <v>43.610860000000002</v>
      </c>
      <c r="M1214" s="9">
        <v>50.076129999999999</v>
      </c>
      <c r="N1214" s="9">
        <v>51.693849999999998</v>
      </c>
      <c r="O1214" s="14">
        <v>43.811639999999997</v>
      </c>
      <c r="P1214" s="9">
        <v>50.107210000000002</v>
      </c>
      <c r="Q1214" s="9">
        <v>51.72345</v>
      </c>
      <c r="R1214" s="23">
        <v>35.81906</v>
      </c>
      <c r="S1214" s="8">
        <v>0.20077999999999999</v>
      </c>
      <c r="T1214" s="9">
        <v>3.108E-2</v>
      </c>
      <c r="U1214" s="24">
        <v>2.9600000000000001E-2</v>
      </c>
    </row>
    <row r="1215" spans="1:21" ht="12" customHeight="1" x14ac:dyDescent="0.25">
      <c r="A1215" s="5">
        <v>3041</v>
      </c>
      <c r="B1215" s="19" t="s">
        <v>606</v>
      </c>
      <c r="C1215" s="19" t="s">
        <v>12</v>
      </c>
      <c r="D1215" s="5" t="s">
        <v>607</v>
      </c>
      <c r="E1215" s="6">
        <v>367247.32822649</v>
      </c>
      <c r="F1215" s="6">
        <v>6548590.2297125999</v>
      </c>
      <c r="G1215" s="7" t="str">
        <f>HYPERLINK("https://minkarta.lantmateriet.se/?e=367247,32822649&amp;n=6548590,2297126&amp;z=12&amp;profile=flygbildmedgranser&amp;background=2&amp;boundaries=true","Visa")</f>
        <v>Visa</v>
      </c>
      <c r="H1215" s="5" t="s">
        <v>11</v>
      </c>
      <c r="I1215" s="8">
        <v>35.137070000000001</v>
      </c>
      <c r="J1215" s="9">
        <v>40.82788</v>
      </c>
      <c r="K1215" s="9">
        <v>42.356459999999998</v>
      </c>
      <c r="L1215" s="14">
        <v>36.075530000000001</v>
      </c>
      <c r="M1215" s="9">
        <v>41.256979999999999</v>
      </c>
      <c r="N1215" s="9">
        <v>42.874949999999998</v>
      </c>
      <c r="O1215" s="14">
        <v>36.38494</v>
      </c>
      <c r="P1215" s="9">
        <v>41.285429999999998</v>
      </c>
      <c r="Q1215" s="9">
        <v>42.904269999999997</v>
      </c>
      <c r="R1215" s="23">
        <v>27.08175</v>
      </c>
      <c r="S1215" s="8">
        <v>0.30941000000000002</v>
      </c>
      <c r="T1215" s="9">
        <v>2.845E-2</v>
      </c>
      <c r="U1215" s="24">
        <v>2.9319999999999999E-2</v>
      </c>
    </row>
    <row r="1216" spans="1:21" ht="12" customHeight="1" x14ac:dyDescent="0.25">
      <c r="A1216" s="5">
        <v>3044</v>
      </c>
      <c r="B1216" s="19" t="s">
        <v>606</v>
      </c>
      <c r="C1216" s="19" t="s">
        <v>12</v>
      </c>
      <c r="D1216" s="5" t="s">
        <v>607</v>
      </c>
      <c r="E1216" s="6">
        <v>367249.32371105999</v>
      </c>
      <c r="F1216" s="6">
        <v>6548597.9722761</v>
      </c>
      <c r="G1216" s="7" t="str">
        <f>HYPERLINK("https://minkarta.lantmateriet.se/?e=367249,32371106&amp;n=6548597,9722761&amp;z=12&amp;profile=flygbildmedgranser&amp;background=2&amp;boundaries=true","Visa")</f>
        <v>Visa</v>
      </c>
      <c r="H1216" s="5" t="s">
        <v>10</v>
      </c>
      <c r="I1216" s="8">
        <v>33.709130000000002</v>
      </c>
      <c r="J1216" s="9">
        <v>36.82593</v>
      </c>
      <c r="K1216" s="9">
        <v>38.354509999999998</v>
      </c>
      <c r="L1216" s="14">
        <v>34.637529999999998</v>
      </c>
      <c r="M1216" s="9">
        <v>37.255040000000001</v>
      </c>
      <c r="N1216" s="9">
        <v>38.872999999999998</v>
      </c>
      <c r="O1216" s="14">
        <v>34.947240000000001</v>
      </c>
      <c r="P1216" s="9">
        <v>37.28349</v>
      </c>
      <c r="Q1216" s="9">
        <v>38.902320000000003</v>
      </c>
      <c r="R1216" s="23">
        <v>27.848520000000001</v>
      </c>
      <c r="S1216" s="8">
        <v>0.30970999999999999</v>
      </c>
      <c r="T1216" s="9">
        <v>2.845E-2</v>
      </c>
      <c r="U1216" s="24">
        <v>2.9319999999999999E-2</v>
      </c>
    </row>
    <row r="1217" spans="1:21" ht="12" customHeight="1" x14ac:dyDescent="0.25">
      <c r="A1217" s="5">
        <v>3045</v>
      </c>
      <c r="B1217" s="19" t="s">
        <v>608</v>
      </c>
      <c r="C1217" s="19" t="s">
        <v>12</v>
      </c>
      <c r="D1217" s="5" t="s">
        <v>609</v>
      </c>
      <c r="E1217" s="6">
        <v>367228.14423386002</v>
      </c>
      <c r="F1217" s="6">
        <v>6548606.6277035</v>
      </c>
      <c r="G1217" s="7" t="str">
        <f>HYPERLINK("https://minkarta.lantmateriet.se/?e=367228,14423386&amp;n=6548606,6277035&amp;z=12&amp;profile=flygbildmedgranser&amp;background=2&amp;boundaries=true","Visa")</f>
        <v>Visa</v>
      </c>
      <c r="H1217" s="5" t="s">
        <v>11</v>
      </c>
      <c r="I1217" s="8">
        <v>36.88588</v>
      </c>
      <c r="J1217" s="9">
        <v>39.464950000000002</v>
      </c>
      <c r="K1217" s="9">
        <v>40.99353</v>
      </c>
      <c r="L1217" s="14">
        <v>37.822569999999999</v>
      </c>
      <c r="M1217" s="9">
        <v>39.894060000000003</v>
      </c>
      <c r="N1217" s="9">
        <v>42.1785</v>
      </c>
      <c r="O1217" s="14">
        <v>38.127339999999997</v>
      </c>
      <c r="P1217" s="9">
        <v>39.922510000000003</v>
      </c>
      <c r="Q1217" s="9">
        <v>42.547229999999999</v>
      </c>
      <c r="R1217" s="23">
        <v>30.482859999999999</v>
      </c>
      <c r="S1217" s="8">
        <v>0.30476999999999999</v>
      </c>
      <c r="T1217" s="9">
        <v>2.845E-2</v>
      </c>
      <c r="U1217" s="24">
        <v>0.36873</v>
      </c>
    </row>
    <row r="1218" spans="1:21" ht="12" customHeight="1" x14ac:dyDescent="0.25">
      <c r="A1218" s="5">
        <v>3046</v>
      </c>
      <c r="B1218" s="19" t="s">
        <v>608</v>
      </c>
      <c r="C1218" s="19" t="s">
        <v>12</v>
      </c>
      <c r="D1218" s="5" t="s">
        <v>609</v>
      </c>
      <c r="E1218" s="6">
        <v>367235.75679954002</v>
      </c>
      <c r="F1218" s="6">
        <v>6548604.9857349005</v>
      </c>
      <c r="G1218" s="7" t="str">
        <f>HYPERLINK("https://minkarta.lantmateriet.se/?e=367235,75679954&amp;n=6548604,9857349&amp;z=12&amp;profile=flygbildmedgranser&amp;background=2&amp;boundaries=true","Visa")</f>
        <v>Visa</v>
      </c>
      <c r="H1218" s="5" t="s">
        <v>8</v>
      </c>
      <c r="I1218" s="8">
        <v>38.278129999999997</v>
      </c>
      <c r="J1218" s="9">
        <v>40.128399999999999</v>
      </c>
      <c r="K1218" s="9">
        <v>41.65699</v>
      </c>
      <c r="L1218" s="14">
        <v>39.212739999999997</v>
      </c>
      <c r="M1218" s="9">
        <v>40.557510000000001</v>
      </c>
      <c r="N1218" s="9">
        <v>43.878030000000003</v>
      </c>
      <c r="O1218" s="14">
        <v>39.418480000000002</v>
      </c>
      <c r="P1218" s="9">
        <v>41.392189999999999</v>
      </c>
      <c r="Q1218" s="9">
        <v>44.246760000000002</v>
      </c>
      <c r="R1218" s="23">
        <v>25.768820000000002</v>
      </c>
      <c r="S1218" s="8">
        <v>0.20574000000000001</v>
      </c>
      <c r="T1218" s="9">
        <v>0.83467999999999998</v>
      </c>
      <c r="U1218" s="24">
        <v>0.36873</v>
      </c>
    </row>
    <row r="1219" spans="1:21" ht="12" customHeight="1" x14ac:dyDescent="0.25">
      <c r="A1219" s="5">
        <v>3047</v>
      </c>
      <c r="B1219" s="19" t="s">
        <v>608</v>
      </c>
      <c r="C1219" s="19" t="s">
        <v>12</v>
      </c>
      <c r="D1219" s="5" t="s">
        <v>609</v>
      </c>
      <c r="E1219" s="6">
        <v>367235.52026831999</v>
      </c>
      <c r="F1219" s="6">
        <v>6548613.0233003004</v>
      </c>
      <c r="G1219" s="7" t="str">
        <f>HYPERLINK("https://minkarta.lantmateriet.se/?e=367235,52026832&amp;n=6548613,0233003&amp;z=12&amp;profile=flygbildmedgranser&amp;background=2&amp;boundaries=true","Visa")</f>
        <v>Visa</v>
      </c>
      <c r="H1219" s="5" t="s">
        <v>9</v>
      </c>
      <c r="I1219" s="8">
        <v>34.084710000000001</v>
      </c>
      <c r="J1219" s="9">
        <v>37.453009999999999</v>
      </c>
      <c r="K1219" s="9">
        <v>38.906979999999997</v>
      </c>
      <c r="L1219" s="14">
        <v>35.009480000000003</v>
      </c>
      <c r="M1219" s="9">
        <v>37.952509999999997</v>
      </c>
      <c r="N1219" s="9">
        <v>41.423169999999999</v>
      </c>
      <c r="O1219" s="14">
        <v>35.214660000000002</v>
      </c>
      <c r="P1219" s="9">
        <v>38.937330000000003</v>
      </c>
      <c r="Q1219" s="9">
        <v>41.791899999999998</v>
      </c>
      <c r="R1219" s="23">
        <v>28.199919999999999</v>
      </c>
      <c r="S1219" s="8">
        <v>0.20518</v>
      </c>
      <c r="T1219" s="9">
        <v>0.98482000000000003</v>
      </c>
      <c r="U1219" s="24">
        <v>0.36873</v>
      </c>
    </row>
    <row r="1220" spans="1:21" ht="12" customHeight="1" x14ac:dyDescent="0.25">
      <c r="A1220" s="5">
        <v>3048</v>
      </c>
      <c r="B1220" s="19" t="s">
        <v>608</v>
      </c>
      <c r="C1220" s="19" t="s">
        <v>12</v>
      </c>
      <c r="D1220" s="5" t="s">
        <v>609</v>
      </c>
      <c r="E1220" s="6">
        <v>367227.89970151999</v>
      </c>
      <c r="F1220" s="6">
        <v>6548615.0722684003</v>
      </c>
      <c r="G1220" s="7" t="str">
        <f>HYPERLINK("https://minkarta.lantmateriet.se/?e=367227,89970152&amp;n=6548615,0722684&amp;z=12&amp;profile=flygbildmedgranser&amp;background=2&amp;boundaries=true","Visa")</f>
        <v>Visa</v>
      </c>
      <c r="H1220" s="5" t="s">
        <v>10</v>
      </c>
      <c r="I1220" s="8">
        <v>33.9405</v>
      </c>
      <c r="J1220" s="9">
        <v>37.151510000000002</v>
      </c>
      <c r="K1220" s="9">
        <v>38.68009</v>
      </c>
      <c r="L1220" s="14">
        <v>34.864440000000002</v>
      </c>
      <c r="M1220" s="9">
        <v>37.580620000000003</v>
      </c>
      <c r="N1220" s="9">
        <v>39.198590000000003</v>
      </c>
      <c r="O1220" s="14">
        <v>35.107559999999999</v>
      </c>
      <c r="P1220" s="9">
        <v>37.609070000000003</v>
      </c>
      <c r="Q1220" s="9">
        <v>39.227910000000001</v>
      </c>
      <c r="R1220" s="23">
        <v>28.12003</v>
      </c>
      <c r="S1220" s="8">
        <v>0.24312</v>
      </c>
      <c r="T1220" s="9">
        <v>2.845E-2</v>
      </c>
      <c r="U1220" s="24">
        <v>2.9319999999999999E-2</v>
      </c>
    </row>
    <row r="1221" spans="1:21" ht="12" customHeight="1" x14ac:dyDescent="0.25">
      <c r="A1221" s="5">
        <v>3049</v>
      </c>
      <c r="B1221" s="19" t="s">
        <v>610</v>
      </c>
      <c r="C1221" s="19" t="s">
        <v>12</v>
      </c>
      <c r="D1221" s="5" t="s">
        <v>611</v>
      </c>
      <c r="E1221" s="6">
        <v>367207.94021763001</v>
      </c>
      <c r="F1221" s="6">
        <v>6548612.0343535999</v>
      </c>
      <c r="G1221" s="7" t="str">
        <f>HYPERLINK("https://minkarta.lantmateriet.se/?e=367207,94021763&amp;n=6548612,0343536&amp;z=12&amp;profile=flygbildmedgranser&amp;background=2&amp;boundaries=true","Visa")</f>
        <v>Visa</v>
      </c>
      <c r="H1221" s="5" t="s">
        <v>14</v>
      </c>
      <c r="I1221" s="8">
        <v>37.250410000000002</v>
      </c>
      <c r="J1221" s="9">
        <v>38.402470000000001</v>
      </c>
      <c r="K1221" s="9">
        <v>39.931049999999999</v>
      </c>
      <c r="L1221" s="14">
        <v>38.180120000000002</v>
      </c>
      <c r="M1221" s="9">
        <v>38.831580000000002</v>
      </c>
      <c r="N1221" s="9">
        <v>40.449550000000002</v>
      </c>
      <c r="O1221" s="14">
        <v>38.327289999999998</v>
      </c>
      <c r="P1221" s="9">
        <v>38.860030000000002</v>
      </c>
      <c r="Q1221" s="9">
        <v>40.478870000000001</v>
      </c>
      <c r="R1221" s="23">
        <v>26.02093</v>
      </c>
      <c r="S1221" s="8">
        <v>0.14717</v>
      </c>
      <c r="T1221" s="9">
        <v>2.845E-2</v>
      </c>
      <c r="U1221" s="24">
        <v>2.9319999999999999E-2</v>
      </c>
    </row>
    <row r="1222" spans="1:21" ht="12" customHeight="1" x14ac:dyDescent="0.25">
      <c r="A1222" s="5">
        <v>3050</v>
      </c>
      <c r="B1222" s="19" t="s">
        <v>610</v>
      </c>
      <c r="C1222" s="19" t="s">
        <v>12</v>
      </c>
      <c r="D1222" s="5" t="s">
        <v>611</v>
      </c>
      <c r="E1222" s="6">
        <v>367202.12714936002</v>
      </c>
      <c r="F1222" s="6">
        <v>6548606.6077180998</v>
      </c>
      <c r="G1222" s="7" t="str">
        <f>HYPERLINK("https://minkarta.lantmateriet.se/?e=367202,12714936&amp;n=6548606,6077181&amp;z=12&amp;profile=flygbildmedgranser&amp;background=2&amp;boundaries=true","Visa")</f>
        <v>Visa</v>
      </c>
      <c r="H1222" s="5" t="s">
        <v>16</v>
      </c>
      <c r="I1222" s="8">
        <v>39.202759999999998</v>
      </c>
      <c r="J1222" s="9">
        <v>39.876150000000003</v>
      </c>
      <c r="K1222" s="9">
        <v>41.404730000000001</v>
      </c>
      <c r="L1222" s="14">
        <v>40.134950000000003</v>
      </c>
      <c r="M1222" s="9">
        <v>40.305259999999997</v>
      </c>
      <c r="N1222" s="9">
        <v>41.923220000000001</v>
      </c>
      <c r="O1222" s="14">
        <v>40.321350000000002</v>
      </c>
      <c r="P1222" s="9">
        <v>40.333710000000004</v>
      </c>
      <c r="Q1222" s="9">
        <v>41.952539999999999</v>
      </c>
      <c r="R1222" s="23">
        <v>31.74034</v>
      </c>
      <c r="S1222" s="8">
        <v>0.18640000000000001</v>
      </c>
      <c r="T1222" s="9">
        <v>2.845E-2</v>
      </c>
      <c r="U1222" s="24">
        <v>2.9319999999999999E-2</v>
      </c>
    </row>
    <row r="1223" spans="1:21" ht="12" customHeight="1" x14ac:dyDescent="0.25">
      <c r="A1223" s="5">
        <v>3051</v>
      </c>
      <c r="B1223" s="19" t="s">
        <v>610</v>
      </c>
      <c r="C1223" s="19" t="s">
        <v>12</v>
      </c>
      <c r="D1223" s="5" t="s">
        <v>611</v>
      </c>
      <c r="E1223" s="6">
        <v>367205.76228418999</v>
      </c>
      <c r="F1223" s="6">
        <v>6548599.5346504999</v>
      </c>
      <c r="G1223" s="7" t="str">
        <f>HYPERLINK("https://minkarta.lantmateriet.se/?e=367205,76228419&amp;n=6548599,5346505&amp;z=12&amp;profile=flygbildmedgranser&amp;background=2&amp;boundaries=true","Visa")</f>
        <v>Visa</v>
      </c>
      <c r="H1223" s="5" t="s">
        <v>15</v>
      </c>
      <c r="I1223" s="8">
        <v>40.160299999999999</v>
      </c>
      <c r="J1223" s="9">
        <v>41.30838</v>
      </c>
      <c r="K1223" s="9">
        <v>42.836959999999998</v>
      </c>
      <c r="L1223" s="14">
        <v>41.092129999999997</v>
      </c>
      <c r="M1223" s="9">
        <v>41.737490000000001</v>
      </c>
      <c r="N1223" s="9">
        <v>43.874940000000002</v>
      </c>
      <c r="O1223" s="14">
        <v>41.383540000000004</v>
      </c>
      <c r="P1223" s="9">
        <v>41.765940000000001</v>
      </c>
      <c r="Q1223" s="9">
        <v>44.243670000000002</v>
      </c>
      <c r="R1223" s="23">
        <v>37.157730000000001</v>
      </c>
      <c r="S1223" s="8">
        <v>0.29141</v>
      </c>
      <c r="T1223" s="9">
        <v>2.845E-2</v>
      </c>
      <c r="U1223" s="24">
        <v>0.36873</v>
      </c>
    </row>
    <row r="1224" spans="1:21" ht="12" customHeight="1" x14ac:dyDescent="0.25">
      <c r="A1224" s="5">
        <v>3052</v>
      </c>
      <c r="B1224" s="19" t="s">
        <v>610</v>
      </c>
      <c r="C1224" s="19" t="s">
        <v>12</v>
      </c>
      <c r="D1224" s="5" t="s">
        <v>611</v>
      </c>
      <c r="E1224" s="6">
        <v>367210.95335244999</v>
      </c>
      <c r="F1224" s="6">
        <v>6548601.3917848002</v>
      </c>
      <c r="G1224" s="7" t="str">
        <f>HYPERLINK("https://minkarta.lantmateriet.se/?e=367210,95335245&amp;n=6548601,3917848&amp;z=12&amp;profile=flygbildmedgranser&amp;background=2&amp;boundaries=true","Visa")</f>
        <v>Visa</v>
      </c>
      <c r="H1224" s="5" t="s">
        <v>13</v>
      </c>
      <c r="I1224" s="8">
        <v>39.77487</v>
      </c>
      <c r="J1224" s="9">
        <v>41.133009999999999</v>
      </c>
      <c r="K1224" s="9">
        <v>42.586970000000001</v>
      </c>
      <c r="L1224" s="14">
        <v>40.710900000000002</v>
      </c>
      <c r="M1224" s="9">
        <v>41.6325</v>
      </c>
      <c r="N1224" s="9">
        <v>45.103160000000003</v>
      </c>
      <c r="O1224" s="14">
        <v>40.859090000000002</v>
      </c>
      <c r="P1224" s="9">
        <v>42.617319999999999</v>
      </c>
      <c r="Q1224" s="9">
        <v>45.471899999999998</v>
      </c>
      <c r="R1224" s="23">
        <v>24.789480000000001</v>
      </c>
      <c r="S1224" s="8">
        <v>0.14818999999999999</v>
      </c>
      <c r="T1224" s="9">
        <v>0.98482000000000003</v>
      </c>
      <c r="U1224" s="24">
        <v>0.36874000000000001</v>
      </c>
    </row>
    <row r="1225" spans="1:21" ht="12" customHeight="1" x14ac:dyDescent="0.25">
      <c r="A1225" s="5">
        <v>3053</v>
      </c>
      <c r="B1225" s="19" t="s">
        <v>610</v>
      </c>
      <c r="C1225" s="19" t="s">
        <v>12</v>
      </c>
      <c r="D1225" s="5" t="s">
        <v>611</v>
      </c>
      <c r="E1225" s="6">
        <v>367213.20113365003</v>
      </c>
      <c r="F1225" s="6">
        <v>6548603.7131778998</v>
      </c>
      <c r="G1225" s="7" t="str">
        <f>HYPERLINK("https://minkarta.lantmateriet.se/?e=367213,20113365&amp;n=6548603,7131779&amp;z=12&amp;profile=flygbildmedgranser&amp;background=2&amp;boundaries=true","Visa")</f>
        <v>Visa</v>
      </c>
      <c r="H1225" s="5" t="s">
        <v>15</v>
      </c>
      <c r="I1225" s="8">
        <v>38.916789999999999</v>
      </c>
      <c r="J1225" s="9">
        <v>40.345039999999997</v>
      </c>
      <c r="K1225" s="9">
        <v>41.873620000000003</v>
      </c>
      <c r="L1225" s="14">
        <v>39.865360000000003</v>
      </c>
      <c r="M1225" s="9">
        <v>41.483910000000002</v>
      </c>
      <c r="N1225" s="9">
        <v>44.954560000000001</v>
      </c>
      <c r="O1225" s="14">
        <v>40.189050000000002</v>
      </c>
      <c r="P1225" s="9">
        <v>42.65211</v>
      </c>
      <c r="Q1225" s="9">
        <v>45.506689999999999</v>
      </c>
      <c r="R1225" s="23">
        <v>26.944389999999999</v>
      </c>
      <c r="S1225" s="8">
        <v>0.32368999999999998</v>
      </c>
      <c r="T1225" s="9">
        <v>1.1681999999999999</v>
      </c>
      <c r="U1225" s="24">
        <v>0.55213000000000001</v>
      </c>
    </row>
    <row r="1226" spans="1:21" ht="12" customHeight="1" x14ac:dyDescent="0.25">
      <c r="A1226" s="5">
        <v>3054</v>
      </c>
      <c r="B1226" s="19" t="s">
        <v>610</v>
      </c>
      <c r="C1226" s="19" t="s">
        <v>12</v>
      </c>
      <c r="D1226" s="5" t="s">
        <v>611</v>
      </c>
      <c r="E1226" s="6">
        <v>367216.29632652999</v>
      </c>
      <c r="F1226" s="6">
        <v>6548604.4302567998</v>
      </c>
      <c r="G1226" s="7" t="str">
        <f>HYPERLINK("https://minkarta.lantmateriet.se/?e=367216,29632653&amp;n=6548604,4302568&amp;z=12&amp;profile=flygbildmedgranser&amp;background=2&amp;boundaries=true","Visa")</f>
        <v>Visa</v>
      </c>
      <c r="H1226" s="5" t="s">
        <v>8</v>
      </c>
      <c r="I1226" s="8">
        <v>41.025649999999999</v>
      </c>
      <c r="J1226" s="9">
        <v>42.027410000000003</v>
      </c>
      <c r="K1226" s="9">
        <v>43.555990000000001</v>
      </c>
      <c r="L1226" s="14">
        <v>41.965359999999997</v>
      </c>
      <c r="M1226" s="9">
        <v>42.456519999999998</v>
      </c>
      <c r="N1226" s="9">
        <v>45.091050000000003</v>
      </c>
      <c r="O1226" s="14">
        <v>42.156529999999997</v>
      </c>
      <c r="P1226" s="9">
        <v>42.60521</v>
      </c>
      <c r="Q1226" s="9">
        <v>45.459780000000002</v>
      </c>
      <c r="R1226" s="23">
        <v>25.81335</v>
      </c>
      <c r="S1226" s="8">
        <v>0.19117000000000001</v>
      </c>
      <c r="T1226" s="9">
        <v>0.14868999999999999</v>
      </c>
      <c r="U1226" s="24">
        <v>0.36873</v>
      </c>
    </row>
    <row r="1227" spans="1:21" ht="12" customHeight="1" x14ac:dyDescent="0.25">
      <c r="A1227" s="5">
        <v>3055</v>
      </c>
      <c r="B1227" s="19" t="s">
        <v>610</v>
      </c>
      <c r="C1227" s="19" t="s">
        <v>12</v>
      </c>
      <c r="D1227" s="5" t="s">
        <v>611</v>
      </c>
      <c r="E1227" s="6">
        <v>367216.46888091002</v>
      </c>
      <c r="F1227" s="6">
        <v>6548606.9361589001</v>
      </c>
      <c r="G1227" s="7" t="str">
        <f>HYPERLINK("https://minkarta.lantmateriet.se/?e=367216,46888091&amp;n=6548606,9361589&amp;z=12&amp;profile=flygbildmedgranser&amp;background=2&amp;boundaries=true","Visa")</f>
        <v>Visa</v>
      </c>
      <c r="H1227" s="5" t="s">
        <v>9</v>
      </c>
      <c r="I1227" s="8">
        <v>37.573569999999997</v>
      </c>
      <c r="J1227" s="9">
        <v>38.664149999999999</v>
      </c>
      <c r="K1227" s="9">
        <v>40.192729999999997</v>
      </c>
      <c r="L1227" s="14">
        <v>38.493699999999997</v>
      </c>
      <c r="M1227" s="9">
        <v>38.984319999999997</v>
      </c>
      <c r="N1227" s="9">
        <v>42.454979999999999</v>
      </c>
      <c r="O1227" s="14">
        <v>38.757019999999997</v>
      </c>
      <c r="P1227" s="9">
        <v>39.969140000000003</v>
      </c>
      <c r="Q1227" s="9">
        <v>42.823709999999998</v>
      </c>
      <c r="R1227" s="23">
        <v>24.511030000000002</v>
      </c>
      <c r="S1227" s="8">
        <v>0.26332</v>
      </c>
      <c r="T1227" s="9">
        <v>0.98482000000000003</v>
      </c>
      <c r="U1227" s="24">
        <v>0.36873</v>
      </c>
    </row>
    <row r="1228" spans="1:21" ht="12" customHeight="1" x14ac:dyDescent="0.25">
      <c r="A1228" s="5">
        <v>3056</v>
      </c>
      <c r="B1228" s="19" t="s">
        <v>610</v>
      </c>
      <c r="C1228" s="19" t="s">
        <v>12</v>
      </c>
      <c r="D1228" s="5" t="s">
        <v>611</v>
      </c>
      <c r="E1228" s="6">
        <v>367213.79514136998</v>
      </c>
      <c r="F1228" s="6">
        <v>6548608.6328664999</v>
      </c>
      <c r="G1228" s="7" t="str">
        <f>HYPERLINK("https://minkarta.lantmateriet.se/?e=367213,79514137&amp;n=6548608,6328665&amp;z=12&amp;profile=flygbildmedgranser&amp;background=2&amp;boundaries=true","Visa")</f>
        <v>Visa</v>
      </c>
      <c r="H1228" s="5" t="s">
        <v>14</v>
      </c>
      <c r="I1228" s="8">
        <v>36.692839999999997</v>
      </c>
      <c r="J1228" s="9">
        <v>37.024500000000003</v>
      </c>
      <c r="K1228" s="9">
        <v>38.593249999999998</v>
      </c>
      <c r="L1228" s="14">
        <v>37.615969999999997</v>
      </c>
      <c r="M1228" s="9">
        <v>37.481029999999997</v>
      </c>
      <c r="N1228" s="9">
        <v>39.098750000000003</v>
      </c>
      <c r="O1228" s="14">
        <v>37.777670000000001</v>
      </c>
      <c r="P1228" s="9">
        <v>37.51211</v>
      </c>
      <c r="Q1228" s="9">
        <v>39.32105</v>
      </c>
      <c r="R1228" s="23">
        <v>24.364629999999998</v>
      </c>
      <c r="S1228" s="8">
        <v>0.16170000000000001</v>
      </c>
      <c r="T1228" s="9">
        <v>3.108E-2</v>
      </c>
      <c r="U1228" s="24">
        <v>0.2223</v>
      </c>
    </row>
    <row r="1229" spans="1:21" ht="12" customHeight="1" x14ac:dyDescent="0.25">
      <c r="A1229" s="5">
        <v>3057</v>
      </c>
      <c r="B1229" s="19" t="s">
        <v>610</v>
      </c>
      <c r="C1229" s="19" t="s">
        <v>12</v>
      </c>
      <c r="D1229" s="5" t="s">
        <v>611</v>
      </c>
      <c r="E1229" s="6">
        <v>367212.46035240003</v>
      </c>
      <c r="F1229" s="6">
        <v>6548610.0397845004</v>
      </c>
      <c r="G1229" s="7" t="str">
        <f>HYPERLINK("https://minkarta.lantmateriet.se/?e=367212,4603524&amp;n=6548610,0397845&amp;z=12&amp;profile=flygbildmedgranser&amp;background=2&amp;boundaries=true","Visa")</f>
        <v>Visa</v>
      </c>
      <c r="H1229" s="5" t="s">
        <v>13</v>
      </c>
      <c r="I1229" s="8">
        <v>36.694890000000001</v>
      </c>
      <c r="J1229" s="9">
        <v>37.652970000000003</v>
      </c>
      <c r="K1229" s="9">
        <v>39.181550000000001</v>
      </c>
      <c r="L1229" s="14">
        <v>37.621780000000001</v>
      </c>
      <c r="M1229" s="9">
        <v>38.082079999999998</v>
      </c>
      <c r="N1229" s="9">
        <v>39.700049999999997</v>
      </c>
      <c r="O1229" s="14">
        <v>37.757350000000002</v>
      </c>
      <c r="P1229" s="9">
        <v>38.110529999999997</v>
      </c>
      <c r="Q1229" s="9">
        <v>39.729370000000003</v>
      </c>
      <c r="R1229" s="23">
        <v>23.874980000000001</v>
      </c>
      <c r="S1229" s="8">
        <v>0.13557</v>
      </c>
      <c r="T1229" s="9">
        <v>2.845E-2</v>
      </c>
      <c r="U1229" s="24">
        <v>2.9319999999999999E-2</v>
      </c>
    </row>
    <row r="1230" spans="1:21" ht="12" customHeight="1" x14ac:dyDescent="0.25">
      <c r="A1230" s="5">
        <v>3058</v>
      </c>
      <c r="B1230" s="19" t="s">
        <v>612</v>
      </c>
      <c r="C1230" s="19" t="s">
        <v>12</v>
      </c>
      <c r="D1230" s="5" t="s">
        <v>613</v>
      </c>
      <c r="E1230" s="6">
        <v>367235.61427665001</v>
      </c>
      <c r="F1230" s="6">
        <v>6548574.5797164002</v>
      </c>
      <c r="G1230" s="7" t="str">
        <f>HYPERLINK("https://minkarta.lantmateriet.se/?e=367235,61427665&amp;n=6548574,5797164&amp;z=12&amp;profile=flygbildmedgranser&amp;background=2&amp;boundaries=true","Visa")</f>
        <v>Visa</v>
      </c>
      <c r="H1230" s="5" t="s">
        <v>8</v>
      </c>
      <c r="I1230" s="8">
        <v>35.910290000000003</v>
      </c>
      <c r="J1230" s="9">
        <v>41.708399999999997</v>
      </c>
      <c r="K1230" s="9">
        <v>43.16236</v>
      </c>
      <c r="L1230" s="14">
        <v>36.857109999999999</v>
      </c>
      <c r="M1230" s="9">
        <v>42.207889999999999</v>
      </c>
      <c r="N1230" s="9">
        <v>45.678550000000001</v>
      </c>
      <c r="O1230" s="14">
        <v>37.224260000000001</v>
      </c>
      <c r="P1230" s="9">
        <v>43.192709999999998</v>
      </c>
      <c r="Q1230" s="9">
        <v>46.047289999999997</v>
      </c>
      <c r="R1230" s="23">
        <v>25.459890000000001</v>
      </c>
      <c r="S1230" s="8">
        <v>0.36714999999999998</v>
      </c>
      <c r="T1230" s="9">
        <v>0.98482000000000003</v>
      </c>
      <c r="U1230" s="24">
        <v>0.36874000000000001</v>
      </c>
    </row>
    <row r="1231" spans="1:21" ht="12" customHeight="1" x14ac:dyDescent="0.25">
      <c r="A1231" s="5">
        <v>3059</v>
      </c>
      <c r="B1231" s="19" t="s">
        <v>612</v>
      </c>
      <c r="C1231" s="19" t="s">
        <v>12</v>
      </c>
      <c r="D1231" s="5" t="s">
        <v>613</v>
      </c>
      <c r="E1231" s="6">
        <v>367237.69928604999</v>
      </c>
      <c r="F1231" s="6">
        <v>6548582.2497784002</v>
      </c>
      <c r="G1231" s="7" t="str">
        <f>HYPERLINK("https://minkarta.lantmateriet.se/?e=367237,69928605&amp;n=6548582,2497784&amp;z=12&amp;profile=flygbildmedgranser&amp;background=2&amp;boundaries=true","Visa")</f>
        <v>Visa</v>
      </c>
      <c r="H1231" s="5" t="s">
        <v>9</v>
      </c>
      <c r="I1231" s="8">
        <v>35.531939999999999</v>
      </c>
      <c r="J1231" s="9">
        <v>40.49738</v>
      </c>
      <c r="K1231" s="9">
        <v>42.025959999999998</v>
      </c>
      <c r="L1231" s="14">
        <v>36.459449999999997</v>
      </c>
      <c r="M1231" s="9">
        <v>40.926490000000001</v>
      </c>
      <c r="N1231" s="9">
        <v>42.544449999999998</v>
      </c>
      <c r="O1231" s="14">
        <v>36.645479999999999</v>
      </c>
      <c r="P1231" s="9">
        <v>40.954940000000001</v>
      </c>
      <c r="Q1231" s="9">
        <v>42.573770000000003</v>
      </c>
      <c r="R1231" s="23">
        <v>28.741430000000001</v>
      </c>
      <c r="S1231" s="8">
        <v>0.18603</v>
      </c>
      <c r="T1231" s="9">
        <v>2.845E-2</v>
      </c>
      <c r="U1231" s="24">
        <v>2.9319999999999999E-2</v>
      </c>
    </row>
    <row r="1232" spans="1:21" ht="12" customHeight="1" x14ac:dyDescent="0.25">
      <c r="A1232" s="5">
        <v>3060</v>
      </c>
      <c r="B1232" s="19" t="s">
        <v>612</v>
      </c>
      <c r="C1232" s="19" t="s">
        <v>12</v>
      </c>
      <c r="D1232" s="5" t="s">
        <v>613</v>
      </c>
      <c r="E1232" s="6">
        <v>367229.76122496999</v>
      </c>
      <c r="F1232" s="6">
        <v>6548581.8402872998</v>
      </c>
      <c r="G1232" s="7" t="str">
        <f>HYPERLINK("https://minkarta.lantmateriet.se/?e=367229,76122497&amp;n=6548581,8402873&amp;z=12&amp;profile=flygbildmedgranser&amp;background=2&amp;boundaries=true","Visa")</f>
        <v>Visa</v>
      </c>
      <c r="H1232" s="5" t="s">
        <v>10</v>
      </c>
      <c r="I1232" s="8">
        <v>32.602849999999997</v>
      </c>
      <c r="J1232" s="9">
        <v>35.593269999999997</v>
      </c>
      <c r="K1232" s="9">
        <v>37.121850000000002</v>
      </c>
      <c r="L1232" s="14">
        <v>33.533230000000003</v>
      </c>
      <c r="M1232" s="9">
        <v>36.022370000000002</v>
      </c>
      <c r="N1232" s="9">
        <v>37.640340000000002</v>
      </c>
      <c r="O1232" s="14">
        <v>33.83896</v>
      </c>
      <c r="P1232" s="9">
        <v>36.050820000000002</v>
      </c>
      <c r="Q1232" s="9">
        <v>37.66966</v>
      </c>
      <c r="R1232" s="23">
        <v>29.89631</v>
      </c>
      <c r="S1232" s="8">
        <v>0.30573</v>
      </c>
      <c r="T1232" s="9">
        <v>2.845E-2</v>
      </c>
      <c r="U1232" s="24">
        <v>2.9319999999999999E-2</v>
      </c>
    </row>
    <row r="1233" spans="1:21" ht="12" customHeight="1" x14ac:dyDescent="0.25">
      <c r="A1233" s="5">
        <v>3061</v>
      </c>
      <c r="B1233" s="19" t="s">
        <v>612</v>
      </c>
      <c r="C1233" s="19" t="s">
        <v>12</v>
      </c>
      <c r="D1233" s="5" t="s">
        <v>613</v>
      </c>
      <c r="E1233" s="6">
        <v>367227.67621543002</v>
      </c>
      <c r="F1233" s="6">
        <v>6548574.1702263001</v>
      </c>
      <c r="G1233" s="7" t="str">
        <f>HYPERLINK("https://minkarta.lantmateriet.se/?e=367227,67621543&amp;n=6548574,1702263&amp;z=12&amp;profile=flygbildmedgranser&amp;background=2&amp;boundaries=true","Visa")</f>
        <v>Visa</v>
      </c>
      <c r="H1233" s="5" t="s">
        <v>11</v>
      </c>
      <c r="I1233" s="8">
        <v>35.01408</v>
      </c>
      <c r="J1233" s="9">
        <v>40.783630000000002</v>
      </c>
      <c r="K1233" s="9">
        <v>42.2376</v>
      </c>
      <c r="L1233" s="14">
        <v>35.945500000000003</v>
      </c>
      <c r="M1233" s="9">
        <v>41.28313</v>
      </c>
      <c r="N1233" s="9">
        <v>44.753790000000002</v>
      </c>
      <c r="O1233" s="14">
        <v>36.386519999999997</v>
      </c>
      <c r="P1233" s="9">
        <v>42.267949999999999</v>
      </c>
      <c r="Q1233" s="9">
        <v>45.122520000000002</v>
      </c>
      <c r="R1233" s="23">
        <v>32.785499999999999</v>
      </c>
      <c r="S1233" s="8">
        <v>0.44102000000000002</v>
      </c>
      <c r="T1233" s="9">
        <v>0.98482000000000003</v>
      </c>
      <c r="U1233" s="24">
        <v>0.36873</v>
      </c>
    </row>
    <row r="1234" spans="1:21" ht="12" customHeight="1" x14ac:dyDescent="0.25">
      <c r="A1234" s="5">
        <v>3063</v>
      </c>
      <c r="B1234" s="19" t="s">
        <v>614</v>
      </c>
      <c r="C1234" s="19" t="s">
        <v>12</v>
      </c>
      <c r="D1234" s="5" t="s">
        <v>615</v>
      </c>
      <c r="E1234" s="6">
        <v>367206.47973234998</v>
      </c>
      <c r="F1234" s="6">
        <v>6548583.3563510003</v>
      </c>
      <c r="G1234" s="7" t="str">
        <f>HYPERLINK("https://minkarta.lantmateriet.se/?e=367206,47973235&amp;n=6548583,356351&amp;z=12&amp;profile=flygbildmedgranser&amp;background=2&amp;boundaries=true","Visa")</f>
        <v>Visa</v>
      </c>
      <c r="H1234" s="5" t="s">
        <v>14</v>
      </c>
      <c r="I1234" s="8">
        <v>34.600949999999997</v>
      </c>
      <c r="J1234" s="9">
        <v>36.45579</v>
      </c>
      <c r="K1234" s="9">
        <v>37.984369999999998</v>
      </c>
      <c r="L1234" s="14">
        <v>35.522039999999997</v>
      </c>
      <c r="M1234" s="9">
        <v>36.884900000000002</v>
      </c>
      <c r="N1234" s="9">
        <v>38.502859999999998</v>
      </c>
      <c r="O1234" s="14">
        <v>35.715470000000003</v>
      </c>
      <c r="P1234" s="9">
        <v>36.913350000000001</v>
      </c>
      <c r="Q1234" s="9">
        <v>38.532179999999997</v>
      </c>
      <c r="R1234" s="23">
        <v>31.869299999999999</v>
      </c>
      <c r="S1234" s="8">
        <v>0.19342999999999999</v>
      </c>
      <c r="T1234" s="9">
        <v>2.845E-2</v>
      </c>
      <c r="U1234" s="24">
        <v>2.9319999999999999E-2</v>
      </c>
    </row>
    <row r="1235" spans="1:21" ht="12" customHeight="1" x14ac:dyDescent="0.25">
      <c r="A1235" s="5">
        <v>3064</v>
      </c>
      <c r="B1235" s="19" t="s">
        <v>614</v>
      </c>
      <c r="C1235" s="19" t="s">
        <v>12</v>
      </c>
      <c r="D1235" s="5" t="s">
        <v>615</v>
      </c>
      <c r="E1235" s="6">
        <v>367200.42115231999</v>
      </c>
      <c r="F1235" s="6">
        <v>6548578.0957351001</v>
      </c>
      <c r="G1235" s="7" t="str">
        <f>HYPERLINK("https://minkarta.lantmateriet.se/?e=367200,42115232&amp;n=6548578,0957351&amp;z=12&amp;profile=flygbildmedgranser&amp;background=2&amp;boundaries=true","Visa")</f>
        <v>Visa</v>
      </c>
      <c r="H1235" s="5" t="s">
        <v>16</v>
      </c>
      <c r="I1235" s="8">
        <v>37.284559999999999</v>
      </c>
      <c r="J1235" s="9">
        <v>39.927399999999999</v>
      </c>
      <c r="K1235" s="9">
        <v>41.455979999999997</v>
      </c>
      <c r="L1235" s="14">
        <v>38.207810000000002</v>
      </c>
      <c r="M1235" s="9">
        <v>40.35651</v>
      </c>
      <c r="N1235" s="9">
        <v>43.781230000000001</v>
      </c>
      <c r="O1235" s="14">
        <v>38.488950000000003</v>
      </c>
      <c r="P1235" s="9">
        <v>41.295389999999998</v>
      </c>
      <c r="Q1235" s="9">
        <v>44.149970000000003</v>
      </c>
      <c r="R1235" s="23">
        <v>36.867710000000002</v>
      </c>
      <c r="S1235" s="8">
        <v>0.28114</v>
      </c>
      <c r="T1235" s="9">
        <v>0.93888000000000005</v>
      </c>
      <c r="U1235" s="24">
        <v>0.36874000000000001</v>
      </c>
    </row>
    <row r="1236" spans="1:21" ht="12" customHeight="1" x14ac:dyDescent="0.25">
      <c r="A1236" s="5">
        <v>3065</v>
      </c>
      <c r="B1236" s="19" t="s">
        <v>614</v>
      </c>
      <c r="C1236" s="19" t="s">
        <v>12</v>
      </c>
      <c r="D1236" s="5" t="s">
        <v>615</v>
      </c>
      <c r="E1236" s="6">
        <v>367204.32076885999</v>
      </c>
      <c r="F1236" s="6">
        <v>6548571.0841531996</v>
      </c>
      <c r="G1236" s="7" t="str">
        <f>HYPERLINK("https://minkarta.lantmateriet.se/?e=367204,32076886&amp;n=6548571,0841532&amp;z=12&amp;profile=flygbildmedgranser&amp;background=2&amp;boundaries=true","Visa")</f>
        <v>Visa</v>
      </c>
      <c r="H1236" s="5" t="s">
        <v>15</v>
      </c>
      <c r="I1236" s="8">
        <v>38.156640000000003</v>
      </c>
      <c r="J1236" s="9">
        <v>42.317810000000001</v>
      </c>
      <c r="K1236" s="9">
        <v>43.771769999999997</v>
      </c>
      <c r="L1236" s="14">
        <v>39.085549999999998</v>
      </c>
      <c r="M1236" s="9">
        <v>42.817300000000003</v>
      </c>
      <c r="N1236" s="9">
        <v>46.287959999999998</v>
      </c>
      <c r="O1236" s="14">
        <v>39.429670000000002</v>
      </c>
      <c r="P1236" s="9">
        <v>43.878709999999998</v>
      </c>
      <c r="Q1236" s="9">
        <v>46.733280000000001</v>
      </c>
      <c r="R1236" s="23">
        <v>35.829369999999997</v>
      </c>
      <c r="S1236" s="8">
        <v>0.34411999999999998</v>
      </c>
      <c r="T1236" s="9">
        <v>1.06141</v>
      </c>
      <c r="U1236" s="24">
        <v>0.44531999999999999</v>
      </c>
    </row>
    <row r="1237" spans="1:21" ht="12" customHeight="1" x14ac:dyDescent="0.25">
      <c r="A1237" s="5">
        <v>3067</v>
      </c>
      <c r="B1237" s="19" t="s">
        <v>616</v>
      </c>
      <c r="C1237" s="19" t="s">
        <v>12</v>
      </c>
      <c r="D1237" s="5" t="s">
        <v>617</v>
      </c>
      <c r="E1237" s="6">
        <v>367183.79529159999</v>
      </c>
      <c r="F1237" s="6">
        <v>6548587.2803403996</v>
      </c>
      <c r="G1237" s="7" t="str">
        <f>HYPERLINK("https://minkarta.lantmateriet.se/?e=367183,7952916&amp;n=6548587,2803404&amp;z=12&amp;profile=flygbildmedgranser&amp;background=2&amp;boundaries=true","Visa")</f>
        <v>Visa</v>
      </c>
      <c r="H1237" s="5" t="s">
        <v>14</v>
      </c>
      <c r="I1237" s="8">
        <v>39.013089999999998</v>
      </c>
      <c r="J1237" s="9">
        <v>41.010429999999999</v>
      </c>
      <c r="K1237" s="9">
        <v>42.539009999999998</v>
      </c>
      <c r="L1237" s="14">
        <v>39.932079999999999</v>
      </c>
      <c r="M1237" s="9">
        <v>41.439529999999998</v>
      </c>
      <c r="N1237" s="9">
        <v>43.057499999999997</v>
      </c>
      <c r="O1237" s="14">
        <v>40.057340000000003</v>
      </c>
      <c r="P1237" s="9">
        <v>41.467979999999997</v>
      </c>
      <c r="Q1237" s="9">
        <v>43.086820000000003</v>
      </c>
      <c r="R1237" s="23">
        <v>35.245780000000003</v>
      </c>
      <c r="S1237" s="8">
        <v>0.12526000000000001</v>
      </c>
      <c r="T1237" s="9">
        <v>2.845E-2</v>
      </c>
      <c r="U1237" s="24">
        <v>2.9319999999999999E-2</v>
      </c>
    </row>
    <row r="1238" spans="1:21" ht="12" customHeight="1" x14ac:dyDescent="0.25">
      <c r="A1238" s="5">
        <v>3068</v>
      </c>
      <c r="B1238" s="19" t="s">
        <v>616</v>
      </c>
      <c r="C1238" s="19" t="s">
        <v>12</v>
      </c>
      <c r="D1238" s="5" t="s">
        <v>617</v>
      </c>
      <c r="E1238" s="6">
        <v>367177.98966283997</v>
      </c>
      <c r="F1238" s="6">
        <v>6548582.1237938004</v>
      </c>
      <c r="G1238" s="7" t="str">
        <f>HYPERLINK("https://minkarta.lantmateriet.se/?e=367177,98966284&amp;n=6548582,1237938&amp;z=12&amp;profile=flygbildmedgranser&amp;background=2&amp;boundaries=true","Visa")</f>
        <v>Visa</v>
      </c>
      <c r="H1238" s="5" t="s">
        <v>16</v>
      </c>
      <c r="I1238" s="8">
        <v>39.228589999999997</v>
      </c>
      <c r="J1238" s="9">
        <v>45.455080000000002</v>
      </c>
      <c r="K1238" s="9">
        <v>46.909050000000001</v>
      </c>
      <c r="L1238" s="14">
        <v>40.151760000000003</v>
      </c>
      <c r="M1238" s="9">
        <v>45.95458</v>
      </c>
      <c r="N1238" s="9">
        <v>49.425240000000002</v>
      </c>
      <c r="O1238" s="14">
        <v>40.455509999999997</v>
      </c>
      <c r="P1238" s="9">
        <v>46.939399999999999</v>
      </c>
      <c r="Q1238" s="9">
        <v>49.793970000000002</v>
      </c>
      <c r="R1238" s="23">
        <v>38.363019999999999</v>
      </c>
      <c r="S1238" s="8">
        <v>0.30375000000000002</v>
      </c>
      <c r="T1238" s="9">
        <v>0.98482000000000003</v>
      </c>
      <c r="U1238" s="24">
        <v>0.36873</v>
      </c>
    </row>
    <row r="1239" spans="1:21" ht="12" customHeight="1" x14ac:dyDescent="0.25">
      <c r="A1239" s="5">
        <v>3069</v>
      </c>
      <c r="B1239" s="19" t="s">
        <v>616</v>
      </c>
      <c r="C1239" s="19" t="s">
        <v>12</v>
      </c>
      <c r="D1239" s="5" t="s">
        <v>617</v>
      </c>
      <c r="E1239" s="6">
        <v>367181.60520957003</v>
      </c>
      <c r="F1239" s="6">
        <v>6548575.2521638004</v>
      </c>
      <c r="G1239" s="7" t="str">
        <f>HYPERLINK("https://minkarta.lantmateriet.se/?e=367181,60520957&amp;n=6548575,2521638&amp;z=12&amp;profile=flygbildmedgranser&amp;background=2&amp;boundaries=true","Visa")</f>
        <v>Visa</v>
      </c>
      <c r="H1239" s="5" t="s">
        <v>15</v>
      </c>
      <c r="I1239" s="8">
        <v>40.261360000000003</v>
      </c>
      <c r="J1239" s="9">
        <v>44.631700000000002</v>
      </c>
      <c r="K1239" s="9">
        <v>46.16028</v>
      </c>
      <c r="L1239" s="14">
        <v>41.192210000000003</v>
      </c>
      <c r="M1239" s="9">
        <v>45.060809999999996</v>
      </c>
      <c r="N1239" s="9">
        <v>46.67877</v>
      </c>
      <c r="O1239" s="14">
        <v>41.512189999999997</v>
      </c>
      <c r="P1239" s="9">
        <v>45.089260000000003</v>
      </c>
      <c r="Q1239" s="9">
        <v>46.708089999999999</v>
      </c>
      <c r="R1239" s="23">
        <v>38.302050000000001</v>
      </c>
      <c r="S1239" s="8">
        <v>0.31997999999999999</v>
      </c>
      <c r="T1239" s="9">
        <v>2.845E-2</v>
      </c>
      <c r="U1239" s="24">
        <v>2.9319999999999999E-2</v>
      </c>
    </row>
    <row r="1240" spans="1:21" ht="12" customHeight="1" x14ac:dyDescent="0.25">
      <c r="A1240" s="5">
        <v>3070</v>
      </c>
      <c r="B1240" s="19" t="s">
        <v>618</v>
      </c>
      <c r="C1240" s="19" t="s">
        <v>254</v>
      </c>
      <c r="D1240" s="5" t="s">
        <v>619</v>
      </c>
      <c r="E1240" s="6">
        <v>367185.74484404002</v>
      </c>
      <c r="F1240" s="6">
        <v>6548606.2197372001</v>
      </c>
      <c r="G1240" s="7" t="str">
        <f>HYPERLINK("https://minkarta.lantmateriet.se/?e=367185,74484404&amp;n=6548606,2197372&amp;z=12&amp;profile=flygbildmedgranser&amp;background=2&amp;boundaries=true","Visa")</f>
        <v>Visa</v>
      </c>
      <c r="H1240" s="5" t="s">
        <v>13</v>
      </c>
      <c r="I1240" s="8">
        <v>35.958880000000001</v>
      </c>
      <c r="J1240" s="9">
        <v>38.98207</v>
      </c>
      <c r="K1240" s="9">
        <v>40.510649999999998</v>
      </c>
      <c r="L1240" s="14">
        <v>36.876629999999999</v>
      </c>
      <c r="M1240" s="9">
        <v>39.411180000000002</v>
      </c>
      <c r="N1240" s="9">
        <v>41.029150000000001</v>
      </c>
      <c r="O1240" s="14">
        <v>37.138950000000001</v>
      </c>
      <c r="P1240" s="9">
        <v>39.439630000000001</v>
      </c>
      <c r="Q1240" s="9">
        <v>41.05847</v>
      </c>
      <c r="R1240" s="23">
        <v>22.97784</v>
      </c>
      <c r="S1240" s="8">
        <v>0.26232</v>
      </c>
      <c r="T1240" s="9">
        <v>2.845E-2</v>
      </c>
      <c r="U1240" s="24">
        <v>2.9319999999999999E-2</v>
      </c>
    </row>
    <row r="1241" spans="1:21" ht="12" customHeight="1" x14ac:dyDescent="0.25">
      <c r="A1241" s="5">
        <v>3071</v>
      </c>
      <c r="B1241" s="19" t="s">
        <v>618</v>
      </c>
      <c r="C1241" s="19" t="s">
        <v>254</v>
      </c>
      <c r="D1241" s="5" t="s">
        <v>619</v>
      </c>
      <c r="E1241" s="6">
        <v>367181.85726672999</v>
      </c>
      <c r="F1241" s="6">
        <v>6548613.2828449002</v>
      </c>
      <c r="G1241" s="7" t="str">
        <f>HYPERLINK("https://minkarta.lantmateriet.se/?e=367181,85726673&amp;n=6548613,2828449&amp;z=12&amp;profile=flygbildmedgranser&amp;background=2&amp;boundaries=true","Visa")</f>
        <v>Visa</v>
      </c>
      <c r="H1241" s="5" t="s">
        <v>14</v>
      </c>
      <c r="I1241" s="8">
        <v>34.480469999999997</v>
      </c>
      <c r="J1241" s="9">
        <v>35.700110000000002</v>
      </c>
      <c r="K1241" s="9">
        <v>37.268859999999997</v>
      </c>
      <c r="L1241" s="14">
        <v>35.38711</v>
      </c>
      <c r="M1241" s="9">
        <v>36.001269999999998</v>
      </c>
      <c r="N1241" s="9">
        <v>37.618989999999997</v>
      </c>
      <c r="O1241" s="14">
        <v>35.544620000000002</v>
      </c>
      <c r="P1241" s="9">
        <v>36.032350000000001</v>
      </c>
      <c r="Q1241" s="9">
        <v>37.648589999999999</v>
      </c>
      <c r="R1241" s="23">
        <v>21.910630000000001</v>
      </c>
      <c r="S1241" s="8">
        <v>0.15751000000000001</v>
      </c>
      <c r="T1241" s="9">
        <v>3.108E-2</v>
      </c>
      <c r="U1241" s="24">
        <v>2.9600000000000001E-2</v>
      </c>
    </row>
    <row r="1242" spans="1:21" ht="12" customHeight="1" x14ac:dyDescent="0.25">
      <c r="A1242" s="5">
        <v>3072</v>
      </c>
      <c r="B1242" s="19" t="s">
        <v>618</v>
      </c>
      <c r="C1242" s="19" t="s">
        <v>254</v>
      </c>
      <c r="D1242" s="5" t="s">
        <v>619</v>
      </c>
      <c r="E1242" s="6">
        <v>367175.75865779002</v>
      </c>
      <c r="F1242" s="6">
        <v>6548608.0107658999</v>
      </c>
      <c r="G1242" s="7" t="str">
        <f>HYPERLINK("https://minkarta.lantmateriet.se/?e=367175,75865779&amp;n=6548608,0107659&amp;z=12&amp;profile=flygbildmedgranser&amp;background=2&amp;boundaries=true","Visa")</f>
        <v>Visa</v>
      </c>
      <c r="H1242" s="5" t="s">
        <v>16</v>
      </c>
      <c r="I1242" s="8">
        <v>41.204680000000003</v>
      </c>
      <c r="J1242" s="9">
        <v>43.743000000000002</v>
      </c>
      <c r="K1242" s="9">
        <v>45.27158</v>
      </c>
      <c r="L1242" s="14">
        <v>42.141640000000002</v>
      </c>
      <c r="M1242" s="9">
        <v>44.172110000000004</v>
      </c>
      <c r="N1242" s="9">
        <v>45.79007</v>
      </c>
      <c r="O1242" s="14">
        <v>42.311990000000002</v>
      </c>
      <c r="P1242" s="9">
        <v>44.200560000000003</v>
      </c>
      <c r="Q1242" s="9">
        <v>45.819389999999999</v>
      </c>
      <c r="R1242" s="23">
        <v>32.640590000000003</v>
      </c>
      <c r="S1242" s="8">
        <v>0.17035</v>
      </c>
      <c r="T1242" s="9">
        <v>2.845E-2</v>
      </c>
      <c r="U1242" s="24">
        <v>2.9319999999999999E-2</v>
      </c>
    </row>
    <row r="1243" spans="1:21" ht="12" customHeight="1" x14ac:dyDescent="0.25">
      <c r="A1243" s="5">
        <v>3073</v>
      </c>
      <c r="B1243" s="19" t="s">
        <v>618</v>
      </c>
      <c r="C1243" s="19" t="s">
        <v>254</v>
      </c>
      <c r="D1243" s="5" t="s">
        <v>619</v>
      </c>
      <c r="E1243" s="6">
        <v>367179.64623605</v>
      </c>
      <c r="F1243" s="6">
        <v>6548600.9476589998</v>
      </c>
      <c r="G1243" s="7" t="str">
        <f>HYPERLINK("https://minkarta.lantmateriet.se/?e=367179,64623605&amp;n=6548600,947659&amp;z=12&amp;profile=flygbildmedgranser&amp;background=2&amp;boundaries=true","Visa")</f>
        <v>Visa</v>
      </c>
      <c r="H1243" s="5" t="s">
        <v>15</v>
      </c>
      <c r="I1243" s="8">
        <v>40.231999999999999</v>
      </c>
      <c r="J1243" s="9">
        <v>41.417819999999999</v>
      </c>
      <c r="K1243" s="9">
        <v>42.946399999999997</v>
      </c>
      <c r="L1243" s="14">
        <v>41.162059999999997</v>
      </c>
      <c r="M1243" s="9">
        <v>41.84693</v>
      </c>
      <c r="N1243" s="9">
        <v>43.464889999999997</v>
      </c>
      <c r="O1243" s="14">
        <v>41.437440000000002</v>
      </c>
      <c r="P1243" s="9">
        <v>41.87538</v>
      </c>
      <c r="Q1243" s="9">
        <v>43.780569999999997</v>
      </c>
      <c r="R1243" s="23">
        <v>36.896819999999998</v>
      </c>
      <c r="S1243" s="8">
        <v>0.27538000000000001</v>
      </c>
      <c r="T1243" s="9">
        <v>2.845E-2</v>
      </c>
      <c r="U1243" s="24">
        <v>0.31568000000000002</v>
      </c>
    </row>
    <row r="1244" spans="1:21" ht="12" customHeight="1" x14ac:dyDescent="0.25">
      <c r="A1244" s="5">
        <v>3074</v>
      </c>
      <c r="B1244" s="19" t="s">
        <v>620</v>
      </c>
      <c r="C1244" s="19" t="s">
        <v>254</v>
      </c>
      <c r="D1244" s="5" t="s">
        <v>621</v>
      </c>
      <c r="E1244" s="6">
        <v>367162.66368965001</v>
      </c>
      <c r="F1244" s="6">
        <v>6548604.0541674001</v>
      </c>
      <c r="G1244" s="7" t="str">
        <f>HYPERLINK("https://minkarta.lantmateriet.se/?e=367162,66368965&amp;n=6548604,0541674&amp;z=12&amp;profile=flygbildmedgranser&amp;background=2&amp;boundaries=true","Visa")</f>
        <v>Visa</v>
      </c>
      <c r="H1244" s="5" t="s">
        <v>15</v>
      </c>
      <c r="I1244" s="8">
        <v>39.288379999999997</v>
      </c>
      <c r="J1244" s="9">
        <v>40.434019999999997</v>
      </c>
      <c r="K1244" s="9">
        <v>41.962600000000002</v>
      </c>
      <c r="L1244" s="14">
        <v>40.207740000000001</v>
      </c>
      <c r="M1244" s="9">
        <v>40.88015</v>
      </c>
      <c r="N1244" s="9">
        <v>44.350810000000003</v>
      </c>
      <c r="O1244" s="14">
        <v>40.489849999999997</v>
      </c>
      <c r="P1244" s="9">
        <v>41.911079999999998</v>
      </c>
      <c r="Q1244" s="9">
        <v>44.765650000000001</v>
      </c>
      <c r="R1244" s="23">
        <v>35.770539999999997</v>
      </c>
      <c r="S1244" s="8">
        <v>0.28211000000000003</v>
      </c>
      <c r="T1244" s="9">
        <v>1.0309299999999999</v>
      </c>
      <c r="U1244" s="24">
        <v>0.41483999999999999</v>
      </c>
    </row>
    <row r="1245" spans="1:21" ht="12" customHeight="1" x14ac:dyDescent="0.25">
      <c r="A1245" s="5">
        <v>3075</v>
      </c>
      <c r="B1245" s="19" t="s">
        <v>620</v>
      </c>
      <c r="C1245" s="19" t="s">
        <v>254</v>
      </c>
      <c r="D1245" s="5" t="s">
        <v>621</v>
      </c>
      <c r="E1245" s="6">
        <v>367168.77183540002</v>
      </c>
      <c r="F1245" s="6">
        <v>6548609.3016897002</v>
      </c>
      <c r="G1245" s="7" t="str">
        <f>HYPERLINK("https://minkarta.lantmateriet.se/?e=367168,7718354&amp;n=6548609,3016897&amp;z=12&amp;profile=flygbildmedgranser&amp;background=2&amp;boundaries=true","Visa")</f>
        <v>Visa</v>
      </c>
      <c r="H1245" s="5" t="s">
        <v>13</v>
      </c>
      <c r="I1245" s="8">
        <v>37.201819999999998</v>
      </c>
      <c r="J1245" s="9">
        <v>40.982990000000001</v>
      </c>
      <c r="K1245" s="9">
        <v>42.436950000000003</v>
      </c>
      <c r="L1245" s="14">
        <v>38.118499999999997</v>
      </c>
      <c r="M1245" s="9">
        <v>41.482480000000002</v>
      </c>
      <c r="N1245" s="9">
        <v>44.953139999999998</v>
      </c>
      <c r="O1245" s="14">
        <v>38.429209999999998</v>
      </c>
      <c r="P1245" s="9">
        <v>42.467300000000002</v>
      </c>
      <c r="Q1245" s="9">
        <v>45.32188</v>
      </c>
      <c r="R1245" s="23">
        <v>35.44791</v>
      </c>
      <c r="S1245" s="8">
        <v>0.31070999999999999</v>
      </c>
      <c r="T1245" s="9">
        <v>0.98482000000000003</v>
      </c>
      <c r="U1245" s="24">
        <v>0.36874000000000001</v>
      </c>
    </row>
    <row r="1246" spans="1:21" ht="12" customHeight="1" x14ac:dyDescent="0.25">
      <c r="A1246" s="5">
        <v>3076</v>
      </c>
      <c r="B1246" s="19" t="s">
        <v>620</v>
      </c>
      <c r="C1246" s="19" t="s">
        <v>254</v>
      </c>
      <c r="D1246" s="5" t="s">
        <v>621</v>
      </c>
      <c r="E1246" s="6">
        <v>367164.93531234999</v>
      </c>
      <c r="F1246" s="6">
        <v>6548616.3808366004</v>
      </c>
      <c r="G1246" s="7" t="str">
        <f>HYPERLINK("https://minkarta.lantmateriet.se/?e=367164,93531235&amp;n=6548616,3808366&amp;z=12&amp;profile=flygbildmedgranser&amp;background=2&amp;boundaries=true","Visa")</f>
        <v>Visa</v>
      </c>
      <c r="H1246" s="5" t="s">
        <v>14</v>
      </c>
      <c r="I1246" s="8">
        <v>34.838970000000003</v>
      </c>
      <c r="J1246" s="9">
        <v>35.960659999999997</v>
      </c>
      <c r="K1246" s="9">
        <v>37.529409999999999</v>
      </c>
      <c r="L1246" s="14">
        <v>35.752270000000003</v>
      </c>
      <c r="M1246" s="9">
        <v>36.417189999999998</v>
      </c>
      <c r="N1246" s="9">
        <v>38.034910000000004</v>
      </c>
      <c r="O1246" s="14">
        <v>35.975659999999998</v>
      </c>
      <c r="P1246" s="9">
        <v>36.447539999999996</v>
      </c>
      <c r="Q1246" s="9">
        <v>38.063789999999997</v>
      </c>
      <c r="R1246" s="23">
        <v>27.093720000000001</v>
      </c>
      <c r="S1246" s="8">
        <v>0.22339000000000001</v>
      </c>
      <c r="T1246" s="9">
        <v>3.0349999999999999E-2</v>
      </c>
      <c r="U1246" s="24">
        <v>2.8879999999999999E-2</v>
      </c>
    </row>
    <row r="1247" spans="1:21" ht="12" customHeight="1" x14ac:dyDescent="0.25">
      <c r="A1247" s="5">
        <v>3077</v>
      </c>
      <c r="B1247" s="19" t="s">
        <v>620</v>
      </c>
      <c r="C1247" s="19" t="s">
        <v>254</v>
      </c>
      <c r="D1247" s="5" t="s">
        <v>621</v>
      </c>
      <c r="E1247" s="6">
        <v>367158.82716659998</v>
      </c>
      <c r="F1247" s="6">
        <v>6548611.1333143003</v>
      </c>
      <c r="G1247" s="7" t="str">
        <f>HYPERLINK("https://minkarta.lantmateriet.se/?e=367158,8271666&amp;n=6548611,1333143&amp;z=12&amp;profile=flygbildmedgranser&amp;background=2&amp;boundaries=true","Visa")</f>
        <v>Visa</v>
      </c>
      <c r="H1247" s="5" t="s">
        <v>16</v>
      </c>
      <c r="I1247" s="8">
        <v>38.637180000000001</v>
      </c>
      <c r="J1247" s="9">
        <v>41.250169999999997</v>
      </c>
      <c r="K1247" s="9">
        <v>43.487850000000002</v>
      </c>
      <c r="L1247" s="14">
        <v>39.546289999999999</v>
      </c>
      <c r="M1247" s="9">
        <v>41.880229999999997</v>
      </c>
      <c r="N1247" s="9">
        <v>44.218510000000002</v>
      </c>
      <c r="O1247" s="14">
        <v>39.763240000000003</v>
      </c>
      <c r="P1247" s="9">
        <v>41.925150000000002</v>
      </c>
      <c r="Q1247" s="9">
        <v>44.261299999999999</v>
      </c>
      <c r="R1247" s="23">
        <v>32.345799999999997</v>
      </c>
      <c r="S1247" s="8">
        <v>0.21695</v>
      </c>
      <c r="T1247" s="9">
        <v>4.4920000000000002E-2</v>
      </c>
      <c r="U1247" s="24">
        <v>4.2790000000000002E-2</v>
      </c>
    </row>
    <row r="1248" spans="1:21" ht="12" customHeight="1" x14ac:dyDescent="0.25">
      <c r="A1248" s="5">
        <v>3078</v>
      </c>
      <c r="B1248" s="19" t="s">
        <v>622</v>
      </c>
      <c r="C1248" s="19" t="s">
        <v>12</v>
      </c>
      <c r="D1248" s="5" t="s">
        <v>623</v>
      </c>
      <c r="E1248" s="6">
        <v>367155.44737948</v>
      </c>
      <c r="F1248" s="6">
        <v>6548586.1454477003</v>
      </c>
      <c r="G1248" s="7" t="str">
        <f>HYPERLINK("https://minkarta.lantmateriet.se/?e=367155,44737948&amp;n=6548586,1454477&amp;z=12&amp;profile=flygbildmedgranser&amp;background=2&amp;boundaries=true","Visa")</f>
        <v>Visa</v>
      </c>
      <c r="H1248" s="5" t="s">
        <v>13</v>
      </c>
      <c r="I1248" s="8">
        <v>35.772440000000003</v>
      </c>
      <c r="J1248" s="9">
        <v>36.914439999999999</v>
      </c>
      <c r="K1248" s="9">
        <v>39.181939999999997</v>
      </c>
      <c r="L1248" s="14">
        <v>36.678220000000003</v>
      </c>
      <c r="M1248" s="9">
        <v>37.57432</v>
      </c>
      <c r="N1248" s="9">
        <v>39.97813</v>
      </c>
      <c r="O1248" s="14">
        <v>36.962620000000001</v>
      </c>
      <c r="P1248" s="9">
        <v>37.619239999999998</v>
      </c>
      <c r="Q1248" s="9">
        <v>40.346870000000003</v>
      </c>
      <c r="R1248" s="23">
        <v>24.187840000000001</v>
      </c>
      <c r="S1248" s="8">
        <v>0.28439999999999999</v>
      </c>
      <c r="T1248" s="9">
        <v>4.4920000000000002E-2</v>
      </c>
      <c r="U1248" s="24">
        <v>0.36874000000000001</v>
      </c>
    </row>
    <row r="1249" spans="1:21" ht="12" customHeight="1" x14ac:dyDescent="0.25">
      <c r="A1249" s="5">
        <v>3079</v>
      </c>
      <c r="B1249" s="19" t="s">
        <v>622</v>
      </c>
      <c r="C1249" s="19" t="s">
        <v>12</v>
      </c>
      <c r="D1249" s="5" t="s">
        <v>623</v>
      </c>
      <c r="E1249" s="6">
        <v>367151.67305575003</v>
      </c>
      <c r="F1249" s="6">
        <v>6548592.6993803997</v>
      </c>
      <c r="G1249" s="7" t="str">
        <f>HYPERLINK("https://minkarta.lantmateriet.se/?e=367151,67305575&amp;n=6548592,6993804&amp;z=12&amp;profile=flygbildmedgranser&amp;background=2&amp;boundaries=true","Visa")</f>
        <v>Visa</v>
      </c>
      <c r="H1249" s="5" t="s">
        <v>14</v>
      </c>
      <c r="I1249" s="8">
        <v>34.184220000000003</v>
      </c>
      <c r="J1249" s="9">
        <v>33.581620000000001</v>
      </c>
      <c r="K1249" s="9">
        <v>35.150359999999999</v>
      </c>
      <c r="L1249" s="14">
        <v>35.103670000000001</v>
      </c>
      <c r="M1249" s="9">
        <v>34.038139999999999</v>
      </c>
      <c r="N1249" s="9">
        <v>35.655859999999997</v>
      </c>
      <c r="O1249" s="14">
        <v>35.34563</v>
      </c>
      <c r="P1249" s="9">
        <v>34.069229999999997</v>
      </c>
      <c r="Q1249" s="9">
        <v>35.685470000000002</v>
      </c>
      <c r="R1249" s="23">
        <v>24.53838</v>
      </c>
      <c r="S1249" s="8">
        <v>0.24196000000000001</v>
      </c>
      <c r="T1249" s="9">
        <v>3.109E-2</v>
      </c>
      <c r="U1249" s="24">
        <v>2.9610000000000001E-2</v>
      </c>
    </row>
    <row r="1250" spans="1:21" ht="12" customHeight="1" x14ac:dyDescent="0.25">
      <c r="A1250" s="5">
        <v>3080</v>
      </c>
      <c r="B1250" s="19" t="s">
        <v>622</v>
      </c>
      <c r="C1250" s="19" t="s">
        <v>12</v>
      </c>
      <c r="D1250" s="5" t="s">
        <v>623</v>
      </c>
      <c r="E1250" s="6">
        <v>367146.06862252002</v>
      </c>
      <c r="F1250" s="6">
        <v>6548587.6215562997</v>
      </c>
      <c r="G1250" s="7" t="str">
        <f>HYPERLINK("https://minkarta.lantmateriet.se/?e=367146,06862252&amp;n=6548587,6215563&amp;z=12&amp;profile=flygbildmedgranser&amp;background=2&amp;boundaries=true","Visa")</f>
        <v>Visa</v>
      </c>
      <c r="H1250" s="5" t="s">
        <v>16</v>
      </c>
      <c r="I1250" s="8">
        <v>41.830770000000001</v>
      </c>
      <c r="J1250" s="9">
        <v>47.254989999999999</v>
      </c>
      <c r="K1250" s="9">
        <v>48.708950000000002</v>
      </c>
      <c r="L1250" s="14">
        <v>42.761099999999999</v>
      </c>
      <c r="M1250" s="9">
        <v>47.754489999999997</v>
      </c>
      <c r="N1250" s="9">
        <v>51.225140000000003</v>
      </c>
      <c r="O1250" s="14">
        <v>43.11692</v>
      </c>
      <c r="P1250" s="9">
        <v>48.7393</v>
      </c>
      <c r="Q1250" s="9">
        <v>51.593879999999999</v>
      </c>
      <c r="R1250" s="23">
        <v>41.569009999999999</v>
      </c>
      <c r="S1250" s="8">
        <v>0.35582000000000003</v>
      </c>
      <c r="T1250" s="9">
        <v>0.98480999999999996</v>
      </c>
      <c r="U1250" s="24">
        <v>0.36874000000000001</v>
      </c>
    </row>
    <row r="1251" spans="1:21" ht="12" customHeight="1" x14ac:dyDescent="0.25">
      <c r="A1251" s="5">
        <v>3081</v>
      </c>
      <c r="B1251" s="19" t="s">
        <v>622</v>
      </c>
      <c r="C1251" s="19" t="s">
        <v>12</v>
      </c>
      <c r="D1251" s="5" t="s">
        <v>623</v>
      </c>
      <c r="E1251" s="6">
        <v>367149.84294624999</v>
      </c>
      <c r="F1251" s="6">
        <v>6548581.0676236004</v>
      </c>
      <c r="G1251" s="7" t="str">
        <f>HYPERLINK("https://minkarta.lantmateriet.se/?e=367149,84294625&amp;n=6548581,0676236&amp;z=12&amp;profile=flygbildmedgranser&amp;background=2&amp;boundaries=true","Visa")</f>
        <v>Visa</v>
      </c>
      <c r="H1251" s="5" t="s">
        <v>15</v>
      </c>
      <c r="I1251" s="8">
        <v>40.168430000000001</v>
      </c>
      <c r="J1251" s="9">
        <v>41.552230000000002</v>
      </c>
      <c r="K1251" s="9">
        <v>43.08081</v>
      </c>
      <c r="L1251" s="14">
        <v>41.102600000000002</v>
      </c>
      <c r="M1251" s="9">
        <v>41.98133</v>
      </c>
      <c r="N1251" s="9">
        <v>43.599299999999999</v>
      </c>
      <c r="O1251" s="14">
        <v>41.471139999999998</v>
      </c>
      <c r="P1251" s="9">
        <v>42.009779999999999</v>
      </c>
      <c r="Q1251" s="9">
        <v>43.852640000000001</v>
      </c>
      <c r="R1251" s="23">
        <v>40.259830000000001</v>
      </c>
      <c r="S1251" s="8">
        <v>0.36853999999999998</v>
      </c>
      <c r="T1251" s="9">
        <v>2.845E-2</v>
      </c>
      <c r="U1251" s="24">
        <v>0.25334000000000001</v>
      </c>
    </row>
    <row r="1252" spans="1:21" ht="12" customHeight="1" x14ac:dyDescent="0.25">
      <c r="A1252" s="5">
        <v>3082</v>
      </c>
      <c r="B1252" s="19" t="s">
        <v>624</v>
      </c>
      <c r="C1252" s="19" t="s">
        <v>12</v>
      </c>
      <c r="D1252" s="5" t="s">
        <v>625</v>
      </c>
      <c r="E1252" s="6">
        <v>367125.43156449997</v>
      </c>
      <c r="F1252" s="6">
        <v>6548600.0663983002</v>
      </c>
      <c r="G1252" s="7" t="str">
        <f>HYPERLINK("https://minkarta.lantmateriet.se/?e=367125,4315645&amp;n=6548600,0663983&amp;z=12&amp;profile=flygbildmedgranser&amp;background=2&amp;boundaries=true","Visa")</f>
        <v>Visa</v>
      </c>
      <c r="H1252" s="5" t="s">
        <v>14</v>
      </c>
      <c r="I1252" s="8">
        <v>39.030439999999999</v>
      </c>
      <c r="J1252" s="9">
        <v>41.290990000000001</v>
      </c>
      <c r="K1252" s="9">
        <v>42.859740000000002</v>
      </c>
      <c r="L1252" s="14">
        <v>39.93479</v>
      </c>
      <c r="M1252" s="9">
        <v>41.747520000000002</v>
      </c>
      <c r="N1252" s="9">
        <v>43.36524</v>
      </c>
      <c r="O1252" s="14">
        <v>40.110199999999999</v>
      </c>
      <c r="P1252" s="9">
        <v>41.778599999999997</v>
      </c>
      <c r="Q1252" s="9">
        <v>43.394840000000002</v>
      </c>
      <c r="R1252" s="23">
        <v>30.567969999999999</v>
      </c>
      <c r="S1252" s="8">
        <v>0.17541000000000001</v>
      </c>
      <c r="T1252" s="9">
        <v>3.108E-2</v>
      </c>
      <c r="U1252" s="24">
        <v>2.9600000000000001E-2</v>
      </c>
    </row>
    <row r="1253" spans="1:21" ht="12" customHeight="1" x14ac:dyDescent="0.25">
      <c r="A1253" s="5">
        <v>3083</v>
      </c>
      <c r="B1253" s="19" t="s">
        <v>624</v>
      </c>
      <c r="C1253" s="19" t="s">
        <v>12</v>
      </c>
      <c r="D1253" s="5" t="s">
        <v>625</v>
      </c>
      <c r="E1253" s="6">
        <v>367123.42510464002</v>
      </c>
      <c r="F1253" s="6">
        <v>6548594.7970660003</v>
      </c>
      <c r="G1253" s="7" t="str">
        <f>HYPERLINK("https://minkarta.lantmateriet.se/?e=367123,42510464&amp;n=6548594,797066&amp;z=12&amp;profile=flygbildmedgranser&amp;background=2&amp;boundaries=true","Visa")</f>
        <v>Visa</v>
      </c>
      <c r="H1253" s="5" t="s">
        <v>16</v>
      </c>
      <c r="I1253" s="8">
        <v>40.389710000000001</v>
      </c>
      <c r="J1253" s="9">
        <v>44.569870000000002</v>
      </c>
      <c r="K1253" s="9">
        <v>46.023829999999997</v>
      </c>
      <c r="L1253" s="14">
        <v>41.320039999999999</v>
      </c>
      <c r="M1253" s="9">
        <v>45.069369999999999</v>
      </c>
      <c r="N1253" s="9">
        <v>48.540019999999998</v>
      </c>
      <c r="O1253" s="14">
        <v>41.720689999999998</v>
      </c>
      <c r="P1253" s="9">
        <v>46.054180000000002</v>
      </c>
      <c r="Q1253" s="9">
        <v>48.908760000000001</v>
      </c>
      <c r="R1253" s="23">
        <v>40.801819999999999</v>
      </c>
      <c r="S1253" s="8">
        <v>0.40065000000000001</v>
      </c>
      <c r="T1253" s="9">
        <v>0.98480999999999996</v>
      </c>
      <c r="U1253" s="24">
        <v>0.36874000000000001</v>
      </c>
    </row>
    <row r="1254" spans="1:21" ht="12" customHeight="1" x14ac:dyDescent="0.25">
      <c r="A1254" s="5">
        <v>3084</v>
      </c>
      <c r="B1254" s="19" t="s">
        <v>624</v>
      </c>
      <c r="C1254" s="19" t="s">
        <v>12</v>
      </c>
      <c r="D1254" s="5" t="s">
        <v>625</v>
      </c>
      <c r="E1254" s="6">
        <v>367128.23793753999</v>
      </c>
      <c r="F1254" s="6">
        <v>6548590.5176056996</v>
      </c>
      <c r="G1254" s="7" t="str">
        <f>HYPERLINK("https://minkarta.lantmateriet.se/?e=367128,23793754&amp;n=6548590,5176057&amp;z=12&amp;profile=flygbildmedgranser&amp;background=2&amp;boundaries=true","Visa")</f>
        <v>Visa</v>
      </c>
      <c r="H1254" s="5" t="s">
        <v>15</v>
      </c>
      <c r="I1254" s="8">
        <v>40.72972</v>
      </c>
      <c r="J1254" s="9">
        <v>43.73854</v>
      </c>
      <c r="K1254" s="9">
        <v>45.267119999999998</v>
      </c>
      <c r="L1254" s="14">
        <v>41.660879999999999</v>
      </c>
      <c r="M1254" s="9">
        <v>44.167639999999999</v>
      </c>
      <c r="N1254" s="9">
        <v>45.785609999999998</v>
      </c>
      <c r="O1254" s="14">
        <v>42.073880000000003</v>
      </c>
      <c r="P1254" s="9">
        <v>44.196089999999998</v>
      </c>
      <c r="Q1254" s="9">
        <v>45.814929999999997</v>
      </c>
      <c r="R1254" s="23">
        <v>40.191249999999997</v>
      </c>
      <c r="S1254" s="8">
        <v>0.41299999999999998</v>
      </c>
      <c r="T1254" s="9">
        <v>2.845E-2</v>
      </c>
      <c r="U1254" s="24">
        <v>2.9319999999999999E-2</v>
      </c>
    </row>
    <row r="1255" spans="1:21" ht="12" customHeight="1" x14ac:dyDescent="0.25">
      <c r="A1255" s="5">
        <v>3085</v>
      </c>
      <c r="B1255" s="19" t="s">
        <v>624</v>
      </c>
      <c r="C1255" s="19" t="s">
        <v>12</v>
      </c>
      <c r="D1255" s="5" t="s">
        <v>625</v>
      </c>
      <c r="E1255" s="6">
        <v>367131.89389726002</v>
      </c>
      <c r="F1255" s="6">
        <v>6548594.2094387002</v>
      </c>
      <c r="G1255" s="7" t="str">
        <f>HYPERLINK("https://minkarta.lantmateriet.se/?e=367131,89389726&amp;n=6548594,2094387&amp;z=12&amp;profile=flygbildmedgranser&amp;background=2&amp;boundaries=true","Visa")</f>
        <v>Visa</v>
      </c>
      <c r="H1255" s="5" t="s">
        <v>13</v>
      </c>
      <c r="I1255" s="8">
        <v>37.724559999999997</v>
      </c>
      <c r="J1255" s="9">
        <v>40.540750000000003</v>
      </c>
      <c r="K1255" s="9">
        <v>42.808250000000001</v>
      </c>
      <c r="L1255" s="14">
        <v>38.64875</v>
      </c>
      <c r="M1255" s="9">
        <v>41.200629999999997</v>
      </c>
      <c r="N1255" s="9">
        <v>44.496980000000001</v>
      </c>
      <c r="O1255" s="14">
        <v>39.236989999999999</v>
      </c>
      <c r="P1255" s="9">
        <v>42.118400000000001</v>
      </c>
      <c r="Q1255" s="9">
        <v>44.97298</v>
      </c>
      <c r="R1255" s="23">
        <v>38.647460000000002</v>
      </c>
      <c r="S1255" s="8">
        <v>0.58823999999999999</v>
      </c>
      <c r="T1255" s="9">
        <v>0.91776999999999997</v>
      </c>
      <c r="U1255" s="24">
        <v>0.47599999999999998</v>
      </c>
    </row>
    <row r="1256" spans="1:21" ht="12" customHeight="1" x14ac:dyDescent="0.25">
      <c r="A1256" s="5">
        <v>3086</v>
      </c>
      <c r="B1256" s="19" t="s">
        <v>624</v>
      </c>
      <c r="C1256" s="19" t="s">
        <v>12</v>
      </c>
      <c r="D1256" s="5" t="s">
        <v>625</v>
      </c>
      <c r="E1256" s="6">
        <v>367134.11343591998</v>
      </c>
      <c r="F1256" s="6">
        <v>6548597.6721054995</v>
      </c>
      <c r="G1256" s="7" t="str">
        <f>HYPERLINK("https://minkarta.lantmateriet.se/?e=367134,11343592&amp;n=6548597,6721055&amp;z=12&amp;profile=flygbildmedgranser&amp;background=2&amp;boundaries=true","Visa")</f>
        <v>Visa</v>
      </c>
      <c r="H1256" s="5" t="s">
        <v>15</v>
      </c>
      <c r="I1256" s="8">
        <v>37.939</v>
      </c>
      <c r="J1256" s="9">
        <v>39.707799999999999</v>
      </c>
      <c r="K1256" s="9">
        <v>41.975299999999997</v>
      </c>
      <c r="L1256" s="14">
        <v>38.870159999999998</v>
      </c>
      <c r="M1256" s="9">
        <v>40.36768</v>
      </c>
      <c r="N1256" s="9">
        <v>42.705970000000001</v>
      </c>
      <c r="O1256" s="14">
        <v>39.288319999999999</v>
      </c>
      <c r="P1256" s="9">
        <v>40.412739999999999</v>
      </c>
      <c r="Q1256" s="9">
        <v>42.748890000000003</v>
      </c>
      <c r="R1256" s="23">
        <v>35.010069999999999</v>
      </c>
      <c r="S1256" s="8">
        <v>0.41815999999999998</v>
      </c>
      <c r="T1256" s="9">
        <v>4.5060000000000003E-2</v>
      </c>
      <c r="U1256" s="24">
        <v>4.292E-2</v>
      </c>
    </row>
    <row r="1257" spans="1:21" ht="12" customHeight="1" x14ac:dyDescent="0.25">
      <c r="A1257" s="5">
        <v>3087</v>
      </c>
      <c r="B1257" s="19" t="s">
        <v>624</v>
      </c>
      <c r="C1257" s="19" t="s">
        <v>12</v>
      </c>
      <c r="D1257" s="5" t="s">
        <v>625</v>
      </c>
      <c r="E1257" s="6">
        <v>367135.95989747997</v>
      </c>
      <c r="F1257" s="6">
        <v>6548603.8499371996</v>
      </c>
      <c r="G1257" s="7" t="str">
        <f>HYPERLINK("https://minkarta.lantmateriet.se/?e=367135,95989748&amp;n=6548603,8499372&amp;z=12&amp;profile=flygbildmedgranser&amp;background=2&amp;boundaries=true","Visa")</f>
        <v>Visa</v>
      </c>
      <c r="H1257" s="5" t="s">
        <v>13</v>
      </c>
      <c r="I1257" s="8">
        <v>36.781739999999999</v>
      </c>
      <c r="J1257" s="9">
        <v>37.279269999999997</v>
      </c>
      <c r="K1257" s="9">
        <v>39.259819999999998</v>
      </c>
      <c r="L1257" s="14">
        <v>37.700009999999999</v>
      </c>
      <c r="M1257" s="9">
        <v>37.832839999999997</v>
      </c>
      <c r="N1257" s="9">
        <v>40.575069999999997</v>
      </c>
      <c r="O1257" s="14">
        <v>37.923110000000001</v>
      </c>
      <c r="P1257" s="9">
        <v>38.154620000000001</v>
      </c>
      <c r="Q1257" s="9">
        <v>41.009189999999997</v>
      </c>
      <c r="R1257" s="23">
        <v>24.61647</v>
      </c>
      <c r="S1257" s="8">
        <v>0.22309999999999999</v>
      </c>
      <c r="T1257" s="9">
        <v>0.32178000000000001</v>
      </c>
      <c r="U1257" s="24">
        <v>0.43412000000000001</v>
      </c>
    </row>
    <row r="1258" spans="1:21" ht="12" customHeight="1" x14ac:dyDescent="0.25">
      <c r="A1258" s="5">
        <v>3088</v>
      </c>
      <c r="B1258" s="19" t="s">
        <v>624</v>
      </c>
      <c r="C1258" s="19" t="s">
        <v>12</v>
      </c>
      <c r="D1258" s="5" t="s">
        <v>625</v>
      </c>
      <c r="E1258" s="6">
        <v>367131.04306430998</v>
      </c>
      <c r="F1258" s="6">
        <v>6548609.0463982997</v>
      </c>
      <c r="G1258" s="7" t="str">
        <f>HYPERLINK("https://minkarta.lantmateriet.se/?e=367131,04306431&amp;n=6548609,0463983&amp;z=12&amp;profile=flygbildmedgranser&amp;background=2&amp;boundaries=true","Visa")</f>
        <v>Visa</v>
      </c>
      <c r="H1258" s="5" t="s">
        <v>14</v>
      </c>
      <c r="I1258" s="8">
        <v>37.766570000000002</v>
      </c>
      <c r="J1258" s="9">
        <v>41.639800000000001</v>
      </c>
      <c r="K1258" s="9">
        <v>43.843440000000001</v>
      </c>
      <c r="L1258" s="14">
        <v>38.67313</v>
      </c>
      <c r="M1258" s="9">
        <v>42.235819999999997</v>
      </c>
      <c r="N1258" s="9">
        <v>44.574109999999997</v>
      </c>
      <c r="O1258" s="14">
        <v>38.916629999999998</v>
      </c>
      <c r="P1258" s="9">
        <v>42.280749999999998</v>
      </c>
      <c r="Q1258" s="9">
        <v>44.616900000000001</v>
      </c>
      <c r="R1258" s="23">
        <v>31.53162</v>
      </c>
      <c r="S1258" s="8">
        <v>0.24349999999999999</v>
      </c>
      <c r="T1258" s="9">
        <v>4.4929999999999998E-2</v>
      </c>
      <c r="U1258" s="24">
        <v>4.2790000000000002E-2</v>
      </c>
    </row>
    <row r="1259" spans="1:21" ht="12" customHeight="1" x14ac:dyDescent="0.25">
      <c r="A1259" s="5">
        <v>3089</v>
      </c>
      <c r="B1259" s="19" t="s">
        <v>624</v>
      </c>
      <c r="C1259" s="19" t="s">
        <v>12</v>
      </c>
      <c r="D1259" s="5" t="s">
        <v>625</v>
      </c>
      <c r="E1259" s="6">
        <v>367127.54710457003</v>
      </c>
      <c r="F1259" s="6">
        <v>6548604.4460664997</v>
      </c>
      <c r="G1259" s="7" t="str">
        <f>HYPERLINK("https://minkarta.lantmateriet.se/?e=367127,54710457&amp;n=6548604,4460665&amp;z=12&amp;profile=flygbildmedgranser&amp;background=2&amp;boundaries=true","Visa")</f>
        <v>Visa</v>
      </c>
      <c r="H1259" s="5" t="s">
        <v>16</v>
      </c>
      <c r="I1259" s="8">
        <v>38.719880000000003</v>
      </c>
      <c r="J1259" s="9">
        <v>41.837069999999997</v>
      </c>
      <c r="K1259" s="9">
        <v>44.104570000000002</v>
      </c>
      <c r="L1259" s="14">
        <v>39.628160000000001</v>
      </c>
      <c r="M1259" s="9">
        <v>42.496949999999998</v>
      </c>
      <c r="N1259" s="9">
        <v>44.835239999999999</v>
      </c>
      <c r="O1259" s="14">
        <v>39.875709999999998</v>
      </c>
      <c r="P1259" s="9">
        <v>42.541870000000003</v>
      </c>
      <c r="Q1259" s="9">
        <v>44.878030000000003</v>
      </c>
      <c r="R1259" s="23">
        <v>34.909210000000002</v>
      </c>
      <c r="S1259" s="8">
        <v>0.24754999999999999</v>
      </c>
      <c r="T1259" s="9">
        <v>4.4920000000000002E-2</v>
      </c>
      <c r="U1259" s="24">
        <v>4.2790000000000002E-2</v>
      </c>
    </row>
    <row r="1260" spans="1:21" ht="12" customHeight="1" x14ac:dyDescent="0.25">
      <c r="A1260" s="5">
        <v>3090</v>
      </c>
      <c r="B1260" s="19" t="s">
        <v>626</v>
      </c>
      <c r="C1260" s="19" t="s">
        <v>12</v>
      </c>
      <c r="D1260" s="5" t="s">
        <v>627</v>
      </c>
      <c r="E1260" s="6">
        <v>367131.86214043997</v>
      </c>
      <c r="F1260" s="6">
        <v>6548619.5131433997</v>
      </c>
      <c r="G1260" s="7" t="str">
        <f>HYPERLINK("https://minkarta.lantmateriet.se/?e=367131,86214044&amp;n=6548619,5131434&amp;z=12&amp;profile=flygbildmedgranser&amp;background=2&amp;boundaries=true","Visa")</f>
        <v>Visa</v>
      </c>
      <c r="H1260" s="5" t="s">
        <v>8</v>
      </c>
      <c r="I1260" s="8">
        <v>40.630629999999996</v>
      </c>
      <c r="J1260" s="9">
        <v>42.422809999999998</v>
      </c>
      <c r="K1260" s="9">
        <v>43.951390000000004</v>
      </c>
      <c r="L1260" s="14">
        <v>41.557070000000003</v>
      </c>
      <c r="M1260" s="9">
        <v>42.85192</v>
      </c>
      <c r="N1260" s="9">
        <v>45.232190000000003</v>
      </c>
      <c r="O1260" s="14">
        <v>41.778269999999999</v>
      </c>
      <c r="P1260" s="9">
        <v>42.880369999999999</v>
      </c>
      <c r="Q1260" s="9">
        <v>45.600920000000002</v>
      </c>
      <c r="R1260" s="23">
        <v>33.039070000000002</v>
      </c>
      <c r="S1260" s="8">
        <v>0.22120000000000001</v>
      </c>
      <c r="T1260" s="9">
        <v>2.845E-2</v>
      </c>
      <c r="U1260" s="24">
        <v>0.36873</v>
      </c>
    </row>
    <row r="1261" spans="1:21" ht="12" customHeight="1" x14ac:dyDescent="0.25">
      <c r="A1261" s="5">
        <v>3091</v>
      </c>
      <c r="B1261" s="19" t="s">
        <v>626</v>
      </c>
      <c r="C1261" s="19" t="s">
        <v>12</v>
      </c>
      <c r="D1261" s="5" t="s">
        <v>627</v>
      </c>
      <c r="E1261" s="6">
        <v>367133.14835968002</v>
      </c>
      <c r="F1261" s="6">
        <v>6548627.9781414</v>
      </c>
      <c r="G1261" s="7" t="str">
        <f>HYPERLINK("https://minkarta.lantmateriet.se/?e=367133,14835968&amp;n=6548627,9781414&amp;z=12&amp;profile=flygbildmedgranser&amp;background=2&amp;boundaries=true","Visa")</f>
        <v>Visa</v>
      </c>
      <c r="H1261" s="5" t="s">
        <v>9</v>
      </c>
      <c r="I1261" s="8">
        <v>37.48339</v>
      </c>
      <c r="J1261" s="9">
        <v>41.2166</v>
      </c>
      <c r="K1261" s="9">
        <v>43.484099999999998</v>
      </c>
      <c r="L1261" s="14">
        <v>38.373049999999999</v>
      </c>
      <c r="M1261" s="9">
        <v>41.876480000000001</v>
      </c>
      <c r="N1261" s="9">
        <v>44.214770000000001</v>
      </c>
      <c r="O1261" s="14">
        <v>38.669159999999998</v>
      </c>
      <c r="P1261" s="9">
        <v>41.921410000000002</v>
      </c>
      <c r="Q1261" s="9">
        <v>44.257559999999998</v>
      </c>
      <c r="R1261" s="23">
        <v>28.017769999999999</v>
      </c>
      <c r="S1261" s="8">
        <v>0.29610999999999998</v>
      </c>
      <c r="T1261" s="9">
        <v>4.4929999999999998E-2</v>
      </c>
      <c r="U1261" s="24">
        <v>4.2790000000000002E-2</v>
      </c>
    </row>
    <row r="1262" spans="1:21" ht="12" customHeight="1" x14ac:dyDescent="0.25">
      <c r="A1262" s="5">
        <v>3092</v>
      </c>
      <c r="B1262" s="19" t="s">
        <v>626</v>
      </c>
      <c r="C1262" s="19" t="s">
        <v>12</v>
      </c>
      <c r="D1262" s="5" t="s">
        <v>627</v>
      </c>
      <c r="E1262" s="6">
        <v>367125.45836115</v>
      </c>
      <c r="F1262" s="6">
        <v>6548631.7418604</v>
      </c>
      <c r="G1262" s="7" t="str">
        <f>HYPERLINK("https://minkarta.lantmateriet.se/?e=367125,45836115&amp;n=6548631,7418604&amp;z=12&amp;profile=flygbildmedgranser&amp;background=2&amp;boundaries=true","Visa")</f>
        <v>Visa</v>
      </c>
      <c r="H1262" s="5" t="s">
        <v>10</v>
      </c>
      <c r="I1262" s="8">
        <v>38.813389999999998</v>
      </c>
      <c r="J1262" s="9">
        <v>41.226089999999999</v>
      </c>
      <c r="K1262" s="9">
        <v>42.794840000000001</v>
      </c>
      <c r="L1262" s="14">
        <v>39.714640000000003</v>
      </c>
      <c r="M1262" s="9">
        <v>41.68262</v>
      </c>
      <c r="N1262" s="9">
        <v>43.300339999999998</v>
      </c>
      <c r="O1262" s="14">
        <v>40.021270000000001</v>
      </c>
      <c r="P1262" s="9">
        <v>41.713700000000003</v>
      </c>
      <c r="Q1262" s="9">
        <v>43.329940000000001</v>
      </c>
      <c r="R1262" s="23">
        <v>34.49483</v>
      </c>
      <c r="S1262" s="8">
        <v>0.30663000000000001</v>
      </c>
      <c r="T1262" s="9">
        <v>3.108E-2</v>
      </c>
      <c r="U1262" s="24">
        <v>2.9600000000000001E-2</v>
      </c>
    </row>
    <row r="1263" spans="1:21" ht="12" customHeight="1" x14ac:dyDescent="0.25">
      <c r="A1263" s="5">
        <v>3093</v>
      </c>
      <c r="B1263" s="19" t="s">
        <v>626</v>
      </c>
      <c r="C1263" s="19" t="s">
        <v>12</v>
      </c>
      <c r="D1263" s="5" t="s">
        <v>627</v>
      </c>
      <c r="E1263" s="6">
        <v>367124.17214202002</v>
      </c>
      <c r="F1263" s="6">
        <v>6548623.2768631997</v>
      </c>
      <c r="G1263" s="7" t="str">
        <f>HYPERLINK("https://minkarta.lantmateriet.se/?e=367124,17214202&amp;n=6548623,2768632&amp;z=12&amp;profile=flygbildmedgranser&amp;background=2&amp;boundaries=true","Visa")</f>
        <v>Visa</v>
      </c>
      <c r="H1263" s="5" t="s">
        <v>11</v>
      </c>
      <c r="I1263" s="8">
        <v>41.847839999999998</v>
      </c>
      <c r="J1263" s="9">
        <v>44.95158</v>
      </c>
      <c r="K1263" s="9">
        <v>46.480159999999998</v>
      </c>
      <c r="L1263" s="14">
        <v>42.779209999999999</v>
      </c>
      <c r="M1263" s="9">
        <v>45.380690000000001</v>
      </c>
      <c r="N1263" s="9">
        <v>47.387259999999998</v>
      </c>
      <c r="O1263" s="14">
        <v>43.117280000000001</v>
      </c>
      <c r="P1263" s="9">
        <v>45.409140000000001</v>
      </c>
      <c r="Q1263" s="9">
        <v>47.756</v>
      </c>
      <c r="R1263" s="23">
        <v>39.470410000000001</v>
      </c>
      <c r="S1263" s="8">
        <v>0.33806999999999998</v>
      </c>
      <c r="T1263" s="9">
        <v>2.845E-2</v>
      </c>
      <c r="U1263" s="24">
        <v>0.36874000000000001</v>
      </c>
    </row>
    <row r="1264" spans="1:21" ht="12" customHeight="1" x14ac:dyDescent="0.25">
      <c r="A1264" s="5">
        <v>3094</v>
      </c>
      <c r="B1264" s="19" t="s">
        <v>628</v>
      </c>
      <c r="C1264" s="19" t="s">
        <v>12</v>
      </c>
      <c r="D1264" s="5" t="s">
        <v>629</v>
      </c>
      <c r="E1264" s="6">
        <v>367150.52004868002</v>
      </c>
      <c r="F1264" s="6">
        <v>6548636.3308694996</v>
      </c>
      <c r="G1264" s="7" t="str">
        <f>HYPERLINK("https://minkarta.lantmateriet.se/?e=367150,52004868&amp;n=6548636,3308695&amp;z=12&amp;profile=flygbildmedgranser&amp;background=2&amp;boundaries=true","Visa")</f>
        <v>Visa</v>
      </c>
      <c r="H1264" s="5" t="s">
        <v>8</v>
      </c>
      <c r="I1264" s="8">
        <v>39.498579999999997</v>
      </c>
      <c r="J1264" s="9">
        <v>42.942959999999999</v>
      </c>
      <c r="K1264" s="9">
        <v>44.396920000000001</v>
      </c>
      <c r="L1264" s="14">
        <v>40.42557</v>
      </c>
      <c r="M1264" s="9">
        <v>43.442459999999997</v>
      </c>
      <c r="N1264" s="9">
        <v>46.913110000000003</v>
      </c>
      <c r="O1264" s="14">
        <v>40.617519999999999</v>
      </c>
      <c r="P1264" s="9">
        <v>44.42727</v>
      </c>
      <c r="Q1264" s="9">
        <v>47.281849999999999</v>
      </c>
      <c r="R1264" s="23">
        <v>32.104869999999998</v>
      </c>
      <c r="S1264" s="8">
        <v>0.19195000000000001</v>
      </c>
      <c r="T1264" s="9">
        <v>0.98480999999999996</v>
      </c>
      <c r="U1264" s="24">
        <v>0.36874000000000001</v>
      </c>
    </row>
    <row r="1265" spans="1:21" ht="12" customHeight="1" x14ac:dyDescent="0.25">
      <c r="A1265" s="5">
        <v>3096</v>
      </c>
      <c r="B1265" s="19" t="s">
        <v>628</v>
      </c>
      <c r="C1265" s="19" t="s">
        <v>12</v>
      </c>
      <c r="D1265" s="5" t="s">
        <v>629</v>
      </c>
      <c r="E1265" s="6">
        <v>367145.88895331998</v>
      </c>
      <c r="F1265" s="6">
        <v>6548644.2501344997</v>
      </c>
      <c r="G1265" s="7" t="str">
        <f>HYPERLINK("https://minkarta.lantmateriet.se/?e=367145,88895332&amp;n=6548644,2501345&amp;z=12&amp;profile=flygbildmedgranser&amp;background=2&amp;boundaries=true","Visa")</f>
        <v>Visa</v>
      </c>
      <c r="H1265" s="5" t="s">
        <v>10</v>
      </c>
      <c r="I1265" s="8">
        <v>38.229610000000001</v>
      </c>
      <c r="J1265" s="9">
        <v>38.970320000000001</v>
      </c>
      <c r="K1265" s="9">
        <v>41.237819999999999</v>
      </c>
      <c r="L1265" s="14">
        <v>39.13964</v>
      </c>
      <c r="M1265" s="9">
        <v>39.630200000000002</v>
      </c>
      <c r="N1265" s="9">
        <v>41.968490000000003</v>
      </c>
      <c r="O1265" s="14">
        <v>39.622639999999997</v>
      </c>
      <c r="P1265" s="9">
        <v>39.67512</v>
      </c>
      <c r="Q1265" s="9">
        <v>42.011270000000003</v>
      </c>
      <c r="R1265" s="23">
        <v>37.884619999999998</v>
      </c>
      <c r="S1265" s="8">
        <v>0.48299999999999998</v>
      </c>
      <c r="T1265" s="9">
        <v>4.4920000000000002E-2</v>
      </c>
      <c r="U1265" s="24">
        <v>4.2779999999999999E-2</v>
      </c>
    </row>
    <row r="1266" spans="1:21" ht="12" customHeight="1" x14ac:dyDescent="0.25">
      <c r="A1266" s="5">
        <v>3097</v>
      </c>
      <c r="B1266" s="19" t="s">
        <v>628</v>
      </c>
      <c r="C1266" s="19" t="s">
        <v>12</v>
      </c>
      <c r="D1266" s="5" t="s">
        <v>629</v>
      </c>
      <c r="E1266" s="6">
        <v>367141.61586868</v>
      </c>
      <c r="F1266" s="6">
        <v>6548636.4379538996</v>
      </c>
      <c r="G1266" s="7" t="str">
        <f>HYPERLINK("https://minkarta.lantmateriet.se/?e=367141,61586868&amp;n=6548636,4379539&amp;z=12&amp;profile=flygbildmedgranser&amp;background=2&amp;boundaries=true","Visa")</f>
        <v>Visa</v>
      </c>
      <c r="H1266" s="5" t="s">
        <v>11</v>
      </c>
      <c r="I1266" s="8">
        <v>38.90569</v>
      </c>
      <c r="J1266" s="9">
        <v>40.393799999999999</v>
      </c>
      <c r="K1266" s="9">
        <v>41.962539999999997</v>
      </c>
      <c r="L1266" s="14">
        <v>39.821579999999997</v>
      </c>
      <c r="M1266" s="9">
        <v>40.850320000000004</v>
      </c>
      <c r="N1266" s="9">
        <v>42.468040000000002</v>
      </c>
      <c r="O1266" s="14">
        <v>40.043430000000001</v>
      </c>
      <c r="P1266" s="9">
        <v>40.881399999999999</v>
      </c>
      <c r="Q1266" s="9">
        <v>42.609830000000002</v>
      </c>
      <c r="R1266" s="23">
        <v>33.099040000000002</v>
      </c>
      <c r="S1266" s="8">
        <v>0.22184999999999999</v>
      </c>
      <c r="T1266" s="9">
        <v>3.108E-2</v>
      </c>
      <c r="U1266" s="24">
        <v>0.14179</v>
      </c>
    </row>
    <row r="1267" spans="1:21" ht="12" customHeight="1" x14ac:dyDescent="0.25">
      <c r="A1267" s="5">
        <v>3098</v>
      </c>
      <c r="B1267" s="19" t="s">
        <v>630</v>
      </c>
      <c r="C1267" s="19" t="s">
        <v>254</v>
      </c>
      <c r="D1267" s="5" t="s">
        <v>631</v>
      </c>
      <c r="E1267" s="6">
        <v>367170.82555854</v>
      </c>
      <c r="F1267" s="6">
        <v>6548645.2368751997</v>
      </c>
      <c r="G1267" s="7" t="str">
        <f>HYPERLINK("https://minkarta.lantmateriet.se/?e=367170,82555854&amp;n=6548645,2368752&amp;z=12&amp;profile=flygbildmedgranser&amp;background=2&amp;boundaries=true","Visa")</f>
        <v>Visa</v>
      </c>
      <c r="H1267" s="5" t="s">
        <v>8</v>
      </c>
      <c r="I1267" s="8">
        <v>38.671259999999997</v>
      </c>
      <c r="J1267" s="9">
        <v>42.058979999999998</v>
      </c>
      <c r="K1267" s="9">
        <v>43.587560000000003</v>
      </c>
      <c r="L1267" s="14">
        <v>39.598140000000001</v>
      </c>
      <c r="M1267" s="9">
        <v>42.48809</v>
      </c>
      <c r="N1267" s="9">
        <v>44.106059999999999</v>
      </c>
      <c r="O1267" s="14">
        <v>39.825780000000002</v>
      </c>
      <c r="P1267" s="9">
        <v>42.516539999999999</v>
      </c>
      <c r="Q1267" s="9">
        <v>44.135379999999998</v>
      </c>
      <c r="R1267" s="23">
        <v>30.15662</v>
      </c>
      <c r="S1267" s="8">
        <v>0.22764000000000001</v>
      </c>
      <c r="T1267" s="9">
        <v>2.845E-2</v>
      </c>
      <c r="U1267" s="24">
        <v>2.9319999999999999E-2</v>
      </c>
    </row>
    <row r="1268" spans="1:21" ht="12" customHeight="1" x14ac:dyDescent="0.25">
      <c r="A1268" s="5">
        <v>3099</v>
      </c>
      <c r="B1268" s="19" t="s">
        <v>630</v>
      </c>
      <c r="C1268" s="19" t="s">
        <v>254</v>
      </c>
      <c r="D1268" s="5" t="s">
        <v>631</v>
      </c>
      <c r="E1268" s="6">
        <v>367174.31462795002</v>
      </c>
      <c r="F1268" s="6">
        <v>6548654.0190591998</v>
      </c>
      <c r="G1268" s="7" t="str">
        <f>HYPERLINK("https://minkarta.lantmateriet.se/?e=367174,31462795&amp;n=6548654,0190592&amp;z=12&amp;profile=flygbildmedgranser&amp;background=2&amp;boundaries=true","Visa")</f>
        <v>Visa</v>
      </c>
      <c r="H1268" s="5" t="s">
        <v>9</v>
      </c>
      <c r="I1268" s="8">
        <v>36.325400000000002</v>
      </c>
      <c r="J1268" s="9">
        <v>37.950510000000001</v>
      </c>
      <c r="K1268" s="9">
        <v>39.519260000000003</v>
      </c>
      <c r="L1268" s="14">
        <v>37.243389999999998</v>
      </c>
      <c r="M1268" s="9">
        <v>38.407040000000002</v>
      </c>
      <c r="N1268" s="9">
        <v>40.024760000000001</v>
      </c>
      <c r="O1268" s="14">
        <v>37.489449999999998</v>
      </c>
      <c r="P1268" s="9">
        <v>38.438119999999998</v>
      </c>
      <c r="Q1268" s="9">
        <v>40.054360000000003</v>
      </c>
      <c r="R1268" s="23">
        <v>29.886320000000001</v>
      </c>
      <c r="S1268" s="8">
        <v>0.24606</v>
      </c>
      <c r="T1268" s="9">
        <v>3.108E-2</v>
      </c>
      <c r="U1268" s="24">
        <v>2.9600000000000001E-2</v>
      </c>
    </row>
    <row r="1269" spans="1:21" ht="12" customHeight="1" x14ac:dyDescent="0.25">
      <c r="A1269" s="5">
        <v>3100</v>
      </c>
      <c r="B1269" s="19" t="s">
        <v>630</v>
      </c>
      <c r="C1269" s="19" t="s">
        <v>254</v>
      </c>
      <c r="D1269" s="5" t="s">
        <v>631</v>
      </c>
      <c r="E1269" s="6">
        <v>367164.94744346</v>
      </c>
      <c r="F1269" s="6">
        <v>6548655.2641287996</v>
      </c>
      <c r="G1269" s="7" t="str">
        <f>HYPERLINK("https://minkarta.lantmateriet.se/?e=367164,94744346&amp;n=6548655,2641288&amp;z=12&amp;profile=flygbildmedgranser&amp;background=2&amp;boundaries=true","Visa")</f>
        <v>Visa</v>
      </c>
      <c r="H1269" s="5" t="s">
        <v>10</v>
      </c>
      <c r="I1269" s="8">
        <v>38.106119999999997</v>
      </c>
      <c r="J1269" s="9">
        <v>41.708370000000002</v>
      </c>
      <c r="K1269" s="9">
        <v>43.277119999999996</v>
      </c>
      <c r="L1269" s="14">
        <v>39.012990000000002</v>
      </c>
      <c r="M1269" s="9">
        <v>42.164900000000003</v>
      </c>
      <c r="N1269" s="9">
        <v>43.782620000000001</v>
      </c>
      <c r="O1269" s="14">
        <v>39.532339999999998</v>
      </c>
      <c r="P1269" s="9">
        <v>42.195979999999999</v>
      </c>
      <c r="Q1269" s="9">
        <v>43.812220000000003</v>
      </c>
      <c r="R1269" s="23">
        <v>38.548810000000003</v>
      </c>
      <c r="S1269" s="8">
        <v>0.51934999999999998</v>
      </c>
      <c r="T1269" s="9">
        <v>3.108E-2</v>
      </c>
      <c r="U1269" s="24">
        <v>2.9600000000000001E-2</v>
      </c>
    </row>
    <row r="1270" spans="1:21" ht="12" customHeight="1" x14ac:dyDescent="0.25">
      <c r="A1270" s="5">
        <v>3102</v>
      </c>
      <c r="B1270" s="19" t="s">
        <v>632</v>
      </c>
      <c r="C1270" s="19" t="s">
        <v>12</v>
      </c>
      <c r="D1270" s="5" t="s">
        <v>633</v>
      </c>
      <c r="E1270" s="6">
        <v>367189.91242036002</v>
      </c>
      <c r="F1270" s="6">
        <v>6548660.3675977997</v>
      </c>
      <c r="G1270" s="7" t="str">
        <f>HYPERLINK("https://minkarta.lantmateriet.se/?e=367189,91242036&amp;n=6548660,3675978&amp;z=12&amp;profile=flygbildmedgranser&amp;background=2&amp;boundaries=true","Visa")</f>
        <v>Visa</v>
      </c>
      <c r="H1270" s="5" t="s">
        <v>8</v>
      </c>
      <c r="I1270" s="8">
        <v>38.911819999999999</v>
      </c>
      <c r="J1270" s="9">
        <v>41.3917</v>
      </c>
      <c r="K1270" s="9">
        <v>42.920279999999998</v>
      </c>
      <c r="L1270" s="14">
        <v>39.841810000000002</v>
      </c>
      <c r="M1270" s="9">
        <v>41.820810000000002</v>
      </c>
      <c r="N1270" s="9">
        <v>43.438780000000001</v>
      </c>
      <c r="O1270" s="14">
        <v>40.023690000000002</v>
      </c>
      <c r="P1270" s="9">
        <v>41.849260000000001</v>
      </c>
      <c r="Q1270" s="9">
        <v>43.4681</v>
      </c>
      <c r="R1270" s="23">
        <v>27.305160000000001</v>
      </c>
      <c r="S1270" s="8">
        <v>0.18187999999999999</v>
      </c>
      <c r="T1270" s="9">
        <v>2.845E-2</v>
      </c>
      <c r="U1270" s="24">
        <v>2.9319999999999999E-2</v>
      </c>
    </row>
    <row r="1271" spans="1:21" ht="12" customHeight="1" x14ac:dyDescent="0.25">
      <c r="A1271" s="5">
        <v>3104</v>
      </c>
      <c r="B1271" s="19" t="s">
        <v>632</v>
      </c>
      <c r="C1271" s="19" t="s">
        <v>12</v>
      </c>
      <c r="D1271" s="5" t="s">
        <v>633</v>
      </c>
      <c r="E1271" s="6">
        <v>367185.14408037998</v>
      </c>
      <c r="F1271" s="6">
        <v>6548667.7604053998</v>
      </c>
      <c r="G1271" s="7" t="str">
        <f>HYPERLINK("https://minkarta.lantmateriet.se/?e=367185,14408038&amp;n=6548667,7604054&amp;z=12&amp;profile=flygbildmedgranser&amp;background=2&amp;boundaries=true","Visa")</f>
        <v>Visa</v>
      </c>
      <c r="H1271" s="5" t="s">
        <v>10</v>
      </c>
      <c r="I1271" s="8">
        <v>36.784759999999999</v>
      </c>
      <c r="J1271" s="9">
        <v>38.213810000000002</v>
      </c>
      <c r="K1271" s="9">
        <v>39.92971</v>
      </c>
      <c r="L1271" s="14">
        <v>37.703189999999999</v>
      </c>
      <c r="M1271" s="9">
        <v>38.67033</v>
      </c>
      <c r="N1271" s="9">
        <v>40.67915</v>
      </c>
      <c r="O1271" s="14">
        <v>38.307969999999997</v>
      </c>
      <c r="P1271" s="9">
        <v>38.701410000000003</v>
      </c>
      <c r="Q1271" s="9">
        <v>40.721519999999998</v>
      </c>
      <c r="R1271" s="23">
        <v>37.899009999999997</v>
      </c>
      <c r="S1271" s="8">
        <v>0.60477999999999998</v>
      </c>
      <c r="T1271" s="9">
        <v>3.108E-2</v>
      </c>
      <c r="U1271" s="24">
        <v>4.2369999999999998E-2</v>
      </c>
    </row>
    <row r="1272" spans="1:21" ht="12" customHeight="1" x14ac:dyDescent="0.25">
      <c r="A1272" s="5">
        <v>3105</v>
      </c>
      <c r="B1272" s="19" t="s">
        <v>632</v>
      </c>
      <c r="C1272" s="19" t="s">
        <v>12</v>
      </c>
      <c r="D1272" s="5" t="s">
        <v>633</v>
      </c>
      <c r="E1272" s="6">
        <v>367181.28909748001</v>
      </c>
      <c r="F1272" s="6">
        <v>6548660.0400815997</v>
      </c>
      <c r="G1272" s="7" t="str">
        <f>HYPERLINK("https://minkarta.lantmateriet.se/?e=367181,28909748&amp;n=6548660,0400816&amp;z=12&amp;profile=flygbildmedgranser&amp;background=2&amp;boundaries=true","Visa")</f>
        <v>Visa</v>
      </c>
      <c r="H1272" s="5" t="s">
        <v>11</v>
      </c>
      <c r="I1272" s="8">
        <v>37.740600000000001</v>
      </c>
      <c r="J1272" s="9">
        <v>45.741509999999998</v>
      </c>
      <c r="K1272" s="9">
        <v>47.31026</v>
      </c>
      <c r="L1272" s="14">
        <v>38.664270000000002</v>
      </c>
      <c r="M1272" s="9">
        <v>46.198039999999999</v>
      </c>
      <c r="N1272" s="9">
        <v>47.815759999999997</v>
      </c>
      <c r="O1272" s="14">
        <v>38.938870000000001</v>
      </c>
      <c r="P1272" s="9">
        <v>46.229120000000002</v>
      </c>
      <c r="Q1272" s="9">
        <v>47.845359999999999</v>
      </c>
      <c r="R1272" s="23">
        <v>33.401029999999999</v>
      </c>
      <c r="S1272" s="8">
        <v>0.27460000000000001</v>
      </c>
      <c r="T1272" s="9">
        <v>3.108E-2</v>
      </c>
      <c r="U1272" s="24">
        <v>2.9600000000000001E-2</v>
      </c>
    </row>
    <row r="1273" spans="1:21" ht="12" customHeight="1" x14ac:dyDescent="0.25">
      <c r="A1273" s="5">
        <v>3106</v>
      </c>
      <c r="B1273" s="19" t="s">
        <v>634</v>
      </c>
      <c r="C1273" s="19" t="s">
        <v>12</v>
      </c>
      <c r="D1273" s="5" t="s">
        <v>635</v>
      </c>
      <c r="E1273" s="6">
        <v>367208.1101782</v>
      </c>
      <c r="F1273" s="6">
        <v>6548672.3317697998</v>
      </c>
      <c r="G1273" s="7" t="str">
        <f>HYPERLINK("https://minkarta.lantmateriet.se/?e=367208,1101782&amp;n=6548672,3317698&amp;z=12&amp;profile=flygbildmedgranser&amp;background=2&amp;boundaries=true","Visa")</f>
        <v>Visa</v>
      </c>
      <c r="H1273" s="5" t="s">
        <v>8</v>
      </c>
      <c r="I1273" s="8">
        <v>38.852170000000001</v>
      </c>
      <c r="J1273" s="9">
        <v>42.575159999999997</v>
      </c>
      <c r="K1273" s="9">
        <v>44.103740000000002</v>
      </c>
      <c r="L1273" s="14">
        <v>39.789650000000002</v>
      </c>
      <c r="M1273" s="9">
        <v>43.004269999999998</v>
      </c>
      <c r="N1273" s="9">
        <v>44.622239999999998</v>
      </c>
      <c r="O1273" s="14">
        <v>39.977879999999999</v>
      </c>
      <c r="P1273" s="9">
        <v>43.032719999999998</v>
      </c>
      <c r="Q1273" s="9">
        <v>44.651560000000003</v>
      </c>
      <c r="R1273" s="23">
        <v>25.32723</v>
      </c>
      <c r="S1273" s="8">
        <v>0.18823000000000001</v>
      </c>
      <c r="T1273" s="9">
        <v>2.845E-2</v>
      </c>
      <c r="U1273" s="24">
        <v>2.9319999999999999E-2</v>
      </c>
    </row>
    <row r="1274" spans="1:21" ht="12" customHeight="1" x14ac:dyDescent="0.25">
      <c r="A1274" s="5">
        <v>3107</v>
      </c>
      <c r="B1274" s="19" t="s">
        <v>634</v>
      </c>
      <c r="C1274" s="19" t="s">
        <v>12</v>
      </c>
      <c r="D1274" s="5" t="s">
        <v>635</v>
      </c>
      <c r="E1274" s="6">
        <v>367211.53423320001</v>
      </c>
      <c r="F1274" s="6">
        <v>6548680.2726792004</v>
      </c>
      <c r="G1274" s="7" t="str">
        <f>HYPERLINK("https://minkarta.lantmateriet.se/?e=367211,5342332&amp;n=6548680,2726792&amp;z=12&amp;profile=flygbildmedgranser&amp;background=2&amp;boundaries=true","Visa")</f>
        <v>Visa</v>
      </c>
      <c r="H1274" s="5" t="s">
        <v>9</v>
      </c>
      <c r="I1274" s="8">
        <v>37.766060000000003</v>
      </c>
      <c r="J1274" s="9">
        <v>39.170290000000001</v>
      </c>
      <c r="K1274" s="9">
        <v>40.698869999999999</v>
      </c>
      <c r="L1274" s="14">
        <v>38.690190000000001</v>
      </c>
      <c r="M1274" s="9">
        <v>39.599400000000003</v>
      </c>
      <c r="N1274" s="9">
        <v>41.217359999999999</v>
      </c>
      <c r="O1274" s="14">
        <v>38.858280000000001</v>
      </c>
      <c r="P1274" s="9">
        <v>39.627850000000002</v>
      </c>
      <c r="Q1274" s="9">
        <v>41.246679999999998</v>
      </c>
      <c r="R1274" s="23">
        <v>28.628160000000001</v>
      </c>
      <c r="S1274" s="8">
        <v>0.16808999999999999</v>
      </c>
      <c r="T1274" s="9">
        <v>2.845E-2</v>
      </c>
      <c r="U1274" s="24">
        <v>2.9319999999999999E-2</v>
      </c>
    </row>
    <row r="1275" spans="1:21" ht="12" customHeight="1" x14ac:dyDescent="0.25">
      <c r="A1275" s="5">
        <v>3108</v>
      </c>
      <c r="B1275" s="19" t="s">
        <v>634</v>
      </c>
      <c r="C1275" s="19" t="s">
        <v>12</v>
      </c>
      <c r="D1275" s="5" t="s">
        <v>635</v>
      </c>
      <c r="E1275" s="6">
        <v>367202.89532302</v>
      </c>
      <c r="F1275" s="6">
        <v>6548679.8937336998</v>
      </c>
      <c r="G1275" s="7" t="str">
        <f>HYPERLINK("https://minkarta.lantmateriet.se/?e=367202,89532302&amp;n=6548679,8937337&amp;z=12&amp;profile=flygbildmedgranser&amp;background=2&amp;boundaries=true","Visa")</f>
        <v>Visa</v>
      </c>
      <c r="H1275" s="5" t="s">
        <v>10</v>
      </c>
      <c r="I1275" s="8">
        <v>36.154600000000002</v>
      </c>
      <c r="J1275" s="9">
        <v>39.140320000000003</v>
      </c>
      <c r="K1275" s="9">
        <v>40.709060000000001</v>
      </c>
      <c r="L1275" s="14">
        <v>37.071089999999998</v>
      </c>
      <c r="M1275" s="9">
        <v>39.59684</v>
      </c>
      <c r="N1275" s="9">
        <v>41.214570000000002</v>
      </c>
      <c r="O1275" s="14">
        <v>37.641219999999997</v>
      </c>
      <c r="P1275" s="9">
        <v>39.627929999999999</v>
      </c>
      <c r="Q1275" s="9">
        <v>41.244169999999997</v>
      </c>
      <c r="R1275" s="23">
        <v>38.191749999999999</v>
      </c>
      <c r="S1275" s="8">
        <v>0.57013000000000003</v>
      </c>
      <c r="T1275" s="9">
        <v>3.109E-2</v>
      </c>
      <c r="U1275" s="24">
        <v>2.9600000000000001E-2</v>
      </c>
    </row>
    <row r="1276" spans="1:21" ht="12" customHeight="1" x14ac:dyDescent="0.25">
      <c r="A1276" s="5">
        <v>3157</v>
      </c>
      <c r="B1276" s="19" t="s">
        <v>636</v>
      </c>
      <c r="C1276" s="19" t="s">
        <v>12</v>
      </c>
      <c r="D1276" s="5" t="s">
        <v>637</v>
      </c>
      <c r="E1276" s="6">
        <v>366868.85909141001</v>
      </c>
      <c r="F1276" s="6">
        <v>6548373.5256693</v>
      </c>
      <c r="G1276" s="7" t="str">
        <f>HYPERLINK("https://minkarta.lantmateriet.se/?e=366868,85909141&amp;n=6548373,5256693&amp;z=12&amp;profile=flygbildmedgranser&amp;background=2&amp;boundaries=true","Visa")</f>
        <v>Visa</v>
      </c>
      <c r="H1276" s="5" t="s">
        <v>13</v>
      </c>
      <c r="I1276" s="8">
        <v>40.305770000000003</v>
      </c>
      <c r="J1276" s="9">
        <v>47.966610000000003</v>
      </c>
      <c r="K1276" s="9">
        <v>49.420569999999998</v>
      </c>
      <c r="L1276" s="14">
        <v>41.241570000000003</v>
      </c>
      <c r="M1276" s="9">
        <v>48.46611</v>
      </c>
      <c r="N1276" s="9">
        <v>51.93676</v>
      </c>
      <c r="O1276" s="14">
        <v>41.239409999999999</v>
      </c>
      <c r="P1276" s="9">
        <v>50.816110000000002</v>
      </c>
      <c r="Q1276" s="9">
        <v>52.305500000000002</v>
      </c>
      <c r="R1276" s="23">
        <v>34.304009999999998</v>
      </c>
      <c r="S1276" s="8">
        <v>-2.16E-3</v>
      </c>
      <c r="T1276" s="9">
        <v>2.35</v>
      </c>
      <c r="U1276" s="24">
        <v>0.36874000000000001</v>
      </c>
    </row>
    <row r="1277" spans="1:21" ht="12" customHeight="1" x14ac:dyDescent="0.25">
      <c r="A1277" s="5">
        <v>3160</v>
      </c>
      <c r="B1277" s="19" t="s">
        <v>636</v>
      </c>
      <c r="C1277" s="19" t="s">
        <v>12</v>
      </c>
      <c r="D1277" s="5" t="s">
        <v>637</v>
      </c>
      <c r="E1277" s="6">
        <v>366862.48716930998</v>
      </c>
      <c r="F1277" s="6">
        <v>6548367.8084113002</v>
      </c>
      <c r="G1277" s="7" t="str">
        <f>HYPERLINK("https://minkarta.lantmateriet.se/?e=366862,48716931&amp;n=6548367,8084113&amp;z=12&amp;profile=flygbildmedgranser&amp;background=2&amp;boundaries=true","Visa")</f>
        <v>Visa</v>
      </c>
      <c r="H1277" s="5" t="s">
        <v>15</v>
      </c>
      <c r="I1277" s="8">
        <v>41.062350000000002</v>
      </c>
      <c r="J1277" s="9">
        <v>45.024030000000003</v>
      </c>
      <c r="K1277" s="9">
        <v>46.478000000000002</v>
      </c>
      <c r="L1277" s="14">
        <v>41.987679999999997</v>
      </c>
      <c r="M1277" s="9">
        <v>45.523530000000001</v>
      </c>
      <c r="N1277" s="9">
        <v>48.994190000000003</v>
      </c>
      <c r="O1277" s="14">
        <v>42.047840000000001</v>
      </c>
      <c r="P1277" s="9">
        <v>51.68573</v>
      </c>
      <c r="Q1277" s="9">
        <v>51.68573</v>
      </c>
      <c r="R1277" s="23">
        <v>46.304180000000002</v>
      </c>
      <c r="S1277" s="8">
        <v>6.0159999999999998E-2</v>
      </c>
      <c r="T1277" s="9">
        <v>6.1622000000000003</v>
      </c>
      <c r="U1277" s="24">
        <v>2.6915399999999998</v>
      </c>
    </row>
    <row r="1278" spans="1:21" ht="12" customHeight="1" x14ac:dyDescent="0.25">
      <c r="A1278" s="5">
        <v>3161</v>
      </c>
      <c r="B1278" s="19" t="s">
        <v>638</v>
      </c>
      <c r="C1278" s="19" t="s">
        <v>12</v>
      </c>
      <c r="D1278" s="5" t="s">
        <v>639</v>
      </c>
      <c r="E1278" s="6">
        <v>366854.00015611999</v>
      </c>
      <c r="F1278" s="6">
        <v>6548354.9854151998</v>
      </c>
      <c r="G1278" s="7" t="str">
        <f>HYPERLINK("https://minkarta.lantmateriet.se/?e=366854,00015612&amp;n=6548354,9854152&amp;z=12&amp;profile=flygbildmedgranser&amp;background=2&amp;boundaries=true","Visa")</f>
        <v>Visa</v>
      </c>
      <c r="H1278" s="5" t="s">
        <v>15</v>
      </c>
      <c r="I1278" s="8">
        <v>42.640529999999998</v>
      </c>
      <c r="J1278" s="9">
        <v>47.188600000000001</v>
      </c>
      <c r="K1278" s="9">
        <v>48.717179999999999</v>
      </c>
      <c r="L1278" s="14">
        <v>43.560099999999998</v>
      </c>
      <c r="M1278" s="9">
        <v>47.617710000000002</v>
      </c>
      <c r="N1278" s="9">
        <v>49.235669999999999</v>
      </c>
      <c r="O1278" s="14">
        <v>43.367809999999999</v>
      </c>
      <c r="P1278" s="9">
        <v>50.400129999999997</v>
      </c>
      <c r="Q1278" s="9">
        <v>50.400129999999997</v>
      </c>
      <c r="R1278" s="23">
        <v>38.204659999999997</v>
      </c>
      <c r="S1278" s="8">
        <v>-0.19228999999999999</v>
      </c>
      <c r="T1278" s="9">
        <v>2.7824200000000001</v>
      </c>
      <c r="U1278" s="24">
        <v>1.1644600000000001</v>
      </c>
    </row>
    <row r="1279" spans="1:21" ht="12" customHeight="1" x14ac:dyDescent="0.25">
      <c r="A1279" s="5">
        <v>3162</v>
      </c>
      <c r="B1279" s="19" t="s">
        <v>638</v>
      </c>
      <c r="C1279" s="19" t="s">
        <v>12</v>
      </c>
      <c r="D1279" s="5" t="s">
        <v>639</v>
      </c>
      <c r="E1279" s="6">
        <v>366864.52258822997</v>
      </c>
      <c r="F1279" s="6">
        <v>6548349.8676586002</v>
      </c>
      <c r="G1279" s="7" t="str">
        <f>HYPERLINK("https://minkarta.lantmateriet.se/?e=366864,52258823&amp;n=6548349,8676586&amp;z=12&amp;profile=flygbildmedgranser&amp;background=2&amp;boundaries=true","Visa")</f>
        <v>Visa</v>
      </c>
      <c r="H1279" s="5" t="s">
        <v>13</v>
      </c>
      <c r="I1279" s="8">
        <v>42.728659999999998</v>
      </c>
      <c r="J1279" s="9">
        <v>47.765329999999999</v>
      </c>
      <c r="K1279" s="9">
        <v>49.219290000000001</v>
      </c>
      <c r="L1279" s="14">
        <v>43.656170000000003</v>
      </c>
      <c r="M1279" s="9">
        <v>48.26482</v>
      </c>
      <c r="N1279" s="9">
        <v>51.735480000000003</v>
      </c>
      <c r="O1279" s="14">
        <v>43.758029999999998</v>
      </c>
      <c r="P1279" s="9">
        <v>49.249639999999999</v>
      </c>
      <c r="Q1279" s="9">
        <v>52.104219999999998</v>
      </c>
      <c r="R1279" s="23">
        <v>44.84422</v>
      </c>
      <c r="S1279" s="8">
        <v>0.10186000000000001</v>
      </c>
      <c r="T1279" s="9">
        <v>0.98482000000000003</v>
      </c>
      <c r="U1279" s="24">
        <v>0.36874000000000001</v>
      </c>
    </row>
    <row r="1280" spans="1:21" ht="12" customHeight="1" x14ac:dyDescent="0.25">
      <c r="A1280" s="5">
        <v>3166</v>
      </c>
      <c r="B1280" s="19" t="s">
        <v>638</v>
      </c>
      <c r="C1280" s="19" t="s">
        <v>12</v>
      </c>
      <c r="D1280" s="5" t="s">
        <v>639</v>
      </c>
      <c r="E1280" s="6">
        <v>366856.55241417</v>
      </c>
      <c r="F1280" s="6">
        <v>6548352.2318468001</v>
      </c>
      <c r="G1280" s="7" t="str">
        <f>HYPERLINK("https://minkarta.lantmateriet.se/?e=366856,55241417&amp;n=6548352,2318468&amp;z=12&amp;profile=flygbildmedgranser&amp;background=2&amp;boundaries=true","Visa")</f>
        <v>Visa</v>
      </c>
      <c r="H1280" s="5" t="s">
        <v>16</v>
      </c>
      <c r="I1280" s="8">
        <v>42.27102</v>
      </c>
      <c r="J1280" s="9">
        <v>50.686590000000002</v>
      </c>
      <c r="K1280" s="9">
        <v>52.215170000000001</v>
      </c>
      <c r="L1280" s="14">
        <v>43.197589999999998</v>
      </c>
      <c r="M1280" s="9">
        <v>51.115699999999997</v>
      </c>
      <c r="N1280" s="9">
        <v>52.73366</v>
      </c>
      <c r="O1280" s="14">
        <v>43.147030000000001</v>
      </c>
      <c r="P1280" s="9">
        <v>51.144150000000003</v>
      </c>
      <c r="Q1280" s="9">
        <v>52.762979999999999</v>
      </c>
      <c r="R1280" s="23">
        <v>39.099640000000001</v>
      </c>
      <c r="S1280" s="8">
        <v>-5.0560000000000001E-2</v>
      </c>
      <c r="T1280" s="9">
        <v>2.845E-2</v>
      </c>
      <c r="U1280" s="24">
        <v>2.9319999999999999E-2</v>
      </c>
    </row>
    <row r="1281" spans="1:21" ht="12" customHeight="1" x14ac:dyDescent="0.25">
      <c r="A1281" s="5">
        <v>3167</v>
      </c>
      <c r="B1281" s="19" t="s">
        <v>638</v>
      </c>
      <c r="C1281" s="19" t="s">
        <v>12</v>
      </c>
      <c r="D1281" s="5" t="s">
        <v>639</v>
      </c>
      <c r="E1281" s="6">
        <v>366858.32415696001</v>
      </c>
      <c r="F1281" s="6">
        <v>6548343.5889149997</v>
      </c>
      <c r="G1281" s="7" t="str">
        <f>HYPERLINK("https://minkarta.lantmateriet.se/?e=366858,32415696&amp;n=6548343,588915&amp;z=12&amp;profile=flygbildmedgranser&amp;background=2&amp;boundaries=true","Visa")</f>
        <v>Visa</v>
      </c>
      <c r="H1281" s="5" t="s">
        <v>15</v>
      </c>
      <c r="I1281" s="8">
        <v>40.767009999999999</v>
      </c>
      <c r="J1281" s="9">
        <v>46.147199999999998</v>
      </c>
      <c r="K1281" s="9">
        <v>47.675780000000003</v>
      </c>
      <c r="L1281" s="14">
        <v>41.689219999999999</v>
      </c>
      <c r="M1281" s="9">
        <v>46.576309999999999</v>
      </c>
      <c r="N1281" s="9">
        <v>48.194270000000003</v>
      </c>
      <c r="O1281" s="14">
        <v>41.570239999999998</v>
      </c>
      <c r="P1281" s="9">
        <v>48.716119999999997</v>
      </c>
      <c r="Q1281" s="9">
        <v>48.716119999999997</v>
      </c>
      <c r="R1281" s="23">
        <v>41.712879999999998</v>
      </c>
      <c r="S1281" s="8">
        <v>-0.11898</v>
      </c>
      <c r="T1281" s="9">
        <v>2.1398100000000002</v>
      </c>
      <c r="U1281" s="24">
        <v>0.52185000000000004</v>
      </c>
    </row>
    <row r="1282" spans="1:21" ht="12" customHeight="1" x14ac:dyDescent="0.25">
      <c r="A1282" s="5">
        <v>3168</v>
      </c>
      <c r="B1282" s="19" t="s">
        <v>638</v>
      </c>
      <c r="C1282" s="19" t="s">
        <v>12</v>
      </c>
      <c r="D1282" s="5" t="s">
        <v>639</v>
      </c>
      <c r="E1282" s="6">
        <v>366864.44908857998</v>
      </c>
      <c r="F1282" s="6">
        <v>6548359.4226598004</v>
      </c>
      <c r="G1282" s="7" t="str">
        <f>HYPERLINK("https://minkarta.lantmateriet.se/?e=366864,44908858&amp;n=6548359,4226598&amp;z=12&amp;profile=flygbildmedgranser&amp;background=2&amp;boundaries=true","Visa")</f>
        <v>Visa</v>
      </c>
      <c r="H1282" s="5" t="s">
        <v>13</v>
      </c>
      <c r="I1282" s="8">
        <v>43.415759999999999</v>
      </c>
      <c r="J1282" s="9">
        <v>50.838610000000003</v>
      </c>
      <c r="K1282" s="9">
        <v>52.292580000000001</v>
      </c>
      <c r="L1282" s="14">
        <v>44.356029999999997</v>
      </c>
      <c r="M1282" s="9">
        <v>51.33811</v>
      </c>
      <c r="N1282" s="9">
        <v>54.808770000000003</v>
      </c>
      <c r="O1282" s="14">
        <v>44.50703</v>
      </c>
      <c r="P1282" s="9">
        <v>52.999870000000001</v>
      </c>
      <c r="Q1282" s="9">
        <v>55.177500000000002</v>
      </c>
      <c r="R1282" s="23">
        <v>43.56033</v>
      </c>
      <c r="S1282" s="8">
        <v>0.151</v>
      </c>
      <c r="T1282" s="9">
        <v>1.6617599999999999</v>
      </c>
      <c r="U1282" s="24">
        <v>0.36873</v>
      </c>
    </row>
    <row r="1283" spans="1:21" ht="12" customHeight="1" x14ac:dyDescent="0.25">
      <c r="A1283" s="5">
        <v>3169</v>
      </c>
      <c r="B1283" s="19" t="s">
        <v>638</v>
      </c>
      <c r="C1283" s="19" t="s">
        <v>12</v>
      </c>
      <c r="D1283" s="5" t="s">
        <v>639</v>
      </c>
      <c r="E1283" s="6">
        <v>366858.4033447</v>
      </c>
      <c r="F1283" s="6">
        <v>6548362.6520891003</v>
      </c>
      <c r="G1283" s="7" t="str">
        <f>HYPERLINK("https://minkarta.lantmateriet.se/?e=366858,4033447&amp;n=6548362,6520891&amp;z=12&amp;profile=flygbildmedgranser&amp;background=2&amp;boundaries=true","Visa")</f>
        <v>Visa</v>
      </c>
      <c r="H1283" s="5" t="s">
        <v>14</v>
      </c>
      <c r="I1283" s="8">
        <v>42.22343</v>
      </c>
      <c r="J1283" s="9">
        <v>47.956600000000002</v>
      </c>
      <c r="K1283" s="9">
        <v>49.48518</v>
      </c>
      <c r="L1283" s="14">
        <v>43.145400000000002</v>
      </c>
      <c r="M1283" s="9">
        <v>48.385710000000003</v>
      </c>
      <c r="N1283" s="9">
        <v>50.003680000000003</v>
      </c>
      <c r="O1283" s="14">
        <v>43.278230000000001</v>
      </c>
      <c r="P1283" s="9">
        <v>54.922260000000001</v>
      </c>
      <c r="Q1283" s="9">
        <v>54.922260000000001</v>
      </c>
      <c r="R1283" s="23">
        <v>47.640189999999997</v>
      </c>
      <c r="S1283" s="8">
        <v>0.13283</v>
      </c>
      <c r="T1283" s="9">
        <v>6.5365500000000001</v>
      </c>
      <c r="U1283" s="24">
        <v>4.9185800000000004</v>
      </c>
    </row>
    <row r="1284" spans="1:21" ht="12" customHeight="1" x14ac:dyDescent="0.25">
      <c r="A1284" s="5">
        <v>3170</v>
      </c>
      <c r="B1284" s="19" t="s">
        <v>638</v>
      </c>
      <c r="C1284" s="19" t="s">
        <v>12</v>
      </c>
      <c r="D1284" s="5" t="s">
        <v>639</v>
      </c>
      <c r="E1284" s="6">
        <v>366851.19991386001</v>
      </c>
      <c r="F1284" s="6">
        <v>6548361.9778457005</v>
      </c>
      <c r="G1284" s="7" t="str">
        <f>HYPERLINK("https://minkarta.lantmateriet.se/?e=366851,19991386&amp;n=6548361,9778457&amp;z=12&amp;profile=flygbildmedgranser&amp;background=2&amp;boundaries=true","Visa")</f>
        <v>Visa</v>
      </c>
      <c r="H1284" s="5" t="s">
        <v>16</v>
      </c>
      <c r="I1284" s="8">
        <v>42.083030000000001</v>
      </c>
      <c r="J1284" s="9">
        <v>45.747979999999998</v>
      </c>
      <c r="K1284" s="9">
        <v>47.276560000000003</v>
      </c>
      <c r="L1284" s="14">
        <v>43.01305</v>
      </c>
      <c r="M1284" s="9">
        <v>46.17709</v>
      </c>
      <c r="N1284" s="9">
        <v>47.795059999999999</v>
      </c>
      <c r="O1284" s="14">
        <v>43.280630000000002</v>
      </c>
      <c r="P1284" s="9">
        <v>53.52046</v>
      </c>
      <c r="Q1284" s="9">
        <v>53.52046</v>
      </c>
      <c r="R1284" s="23">
        <v>47.573929999999997</v>
      </c>
      <c r="S1284" s="8">
        <v>0.26757999999999998</v>
      </c>
      <c r="T1284" s="9">
        <v>7.3433700000000002</v>
      </c>
      <c r="U1284" s="24">
        <v>5.7253999999999996</v>
      </c>
    </row>
    <row r="1285" spans="1:21" ht="12" customHeight="1" x14ac:dyDescent="0.25">
      <c r="A1285" s="5">
        <v>3171</v>
      </c>
      <c r="B1285" s="19" t="s">
        <v>638</v>
      </c>
      <c r="C1285" s="19" t="s">
        <v>12</v>
      </c>
      <c r="D1285" s="5" t="s">
        <v>639</v>
      </c>
      <c r="E1285" s="6">
        <v>366851.34341471997</v>
      </c>
      <c r="F1285" s="6">
        <v>6548357.4588486003</v>
      </c>
      <c r="G1285" s="7" t="str">
        <f>HYPERLINK("https://minkarta.lantmateriet.se/?e=366851,34341472&amp;n=6548357,4588486&amp;z=12&amp;profile=flygbildmedgranser&amp;background=2&amp;boundaries=true","Visa")</f>
        <v>Visa</v>
      </c>
      <c r="H1285" s="5" t="s">
        <v>16</v>
      </c>
      <c r="I1285" s="8">
        <v>42.090209999999999</v>
      </c>
      <c r="J1285" s="9">
        <v>46.158990000000003</v>
      </c>
      <c r="K1285" s="9">
        <v>47.687570000000001</v>
      </c>
      <c r="L1285" s="14">
        <v>43.010469999999998</v>
      </c>
      <c r="M1285" s="9">
        <v>46.588099999999997</v>
      </c>
      <c r="N1285" s="9">
        <v>48.206060000000001</v>
      </c>
      <c r="O1285" s="14">
        <v>42.977739999999997</v>
      </c>
      <c r="P1285" s="9">
        <v>49.443559999999998</v>
      </c>
      <c r="Q1285" s="9">
        <v>49.443559999999998</v>
      </c>
      <c r="R1285" s="23">
        <v>42.070369999999997</v>
      </c>
      <c r="S1285" s="8">
        <v>-3.2730000000000002E-2</v>
      </c>
      <c r="T1285" s="9">
        <v>2.8554599999999999</v>
      </c>
      <c r="U1285" s="24">
        <v>1.2375</v>
      </c>
    </row>
    <row r="1286" spans="1:21" ht="12" customHeight="1" x14ac:dyDescent="0.25">
      <c r="A1286" s="5">
        <v>3172</v>
      </c>
      <c r="B1286" s="19" t="s">
        <v>640</v>
      </c>
      <c r="C1286" s="19" t="s">
        <v>12</v>
      </c>
      <c r="D1286" s="5" t="s">
        <v>641</v>
      </c>
      <c r="E1286" s="6">
        <v>366857.44099341001</v>
      </c>
      <c r="F1286" s="6">
        <v>6548326.6658565002</v>
      </c>
      <c r="G1286" s="7" t="str">
        <f>HYPERLINK("https://minkarta.lantmateriet.se/?e=366857,44099341&amp;n=6548326,6658565&amp;z=12&amp;profile=flygbildmedgranser&amp;background=2&amp;boundaries=true","Visa")</f>
        <v>Visa</v>
      </c>
      <c r="H1286" s="5" t="s">
        <v>13</v>
      </c>
      <c r="I1286" s="8">
        <v>41.635800000000003</v>
      </c>
      <c r="J1286" s="9">
        <v>47.422669999999997</v>
      </c>
      <c r="K1286" s="9">
        <v>48.951250000000002</v>
      </c>
      <c r="L1286" s="14">
        <v>42.562649999999998</v>
      </c>
      <c r="M1286" s="9">
        <v>47.851779999999998</v>
      </c>
      <c r="N1286" s="9">
        <v>49.822150000000001</v>
      </c>
      <c r="O1286" s="14">
        <v>42.823149999999998</v>
      </c>
      <c r="P1286" s="9">
        <v>47.880229999999997</v>
      </c>
      <c r="Q1286" s="9">
        <v>50.190890000000003</v>
      </c>
      <c r="R1286" s="23">
        <v>43.81579</v>
      </c>
      <c r="S1286" s="8">
        <v>0.26050000000000001</v>
      </c>
      <c r="T1286" s="9">
        <v>2.845E-2</v>
      </c>
      <c r="U1286" s="24">
        <v>0.36874000000000001</v>
      </c>
    </row>
    <row r="1287" spans="1:21" ht="12" customHeight="1" x14ac:dyDescent="0.25">
      <c r="A1287" s="5">
        <v>3173</v>
      </c>
      <c r="B1287" s="19" t="s">
        <v>640</v>
      </c>
      <c r="C1287" s="19" t="s">
        <v>12</v>
      </c>
      <c r="D1287" s="5" t="s">
        <v>641</v>
      </c>
      <c r="E1287" s="6">
        <v>366855.44814557</v>
      </c>
      <c r="F1287" s="6">
        <v>6548334.9639947005</v>
      </c>
      <c r="G1287" s="7" t="str">
        <f>HYPERLINK("https://minkarta.lantmateriet.se/?e=366855,44814557&amp;n=6548334,9639947&amp;z=12&amp;profile=flygbildmedgranser&amp;background=2&amp;boundaries=true","Visa")</f>
        <v>Visa</v>
      </c>
      <c r="H1287" s="5" t="s">
        <v>14</v>
      </c>
      <c r="I1287" s="8">
        <v>40.503</v>
      </c>
      <c r="J1287" s="9">
        <v>47.786790000000003</v>
      </c>
      <c r="K1287" s="9">
        <v>49.315370000000001</v>
      </c>
      <c r="L1287" s="14">
        <v>41.431429999999999</v>
      </c>
      <c r="M1287" s="9">
        <v>48.215899999999998</v>
      </c>
      <c r="N1287" s="9">
        <v>49.833869999999997</v>
      </c>
      <c r="O1287" s="14">
        <v>41.53651</v>
      </c>
      <c r="P1287" s="9">
        <v>50.343200000000003</v>
      </c>
      <c r="Q1287" s="9">
        <v>50.343200000000003</v>
      </c>
      <c r="R1287" s="23">
        <v>44.766739999999999</v>
      </c>
      <c r="S1287" s="8">
        <v>0.10508000000000001</v>
      </c>
      <c r="T1287" s="9">
        <v>2.1273</v>
      </c>
      <c r="U1287" s="24">
        <v>0.50932999999999995</v>
      </c>
    </row>
    <row r="1288" spans="1:21" ht="12" customHeight="1" x14ac:dyDescent="0.25">
      <c r="A1288" s="5">
        <v>3174</v>
      </c>
      <c r="B1288" s="19" t="s">
        <v>640</v>
      </c>
      <c r="C1288" s="19" t="s">
        <v>12</v>
      </c>
      <c r="D1288" s="5" t="s">
        <v>641</v>
      </c>
      <c r="E1288" s="6">
        <v>366848.89400865999</v>
      </c>
      <c r="F1288" s="6">
        <v>6548329.4976476999</v>
      </c>
      <c r="G1288" s="7" t="str">
        <f>HYPERLINK("https://minkarta.lantmateriet.se/?e=366848,89400866&amp;n=6548329,4976477&amp;z=12&amp;profile=flygbildmedgranser&amp;background=2&amp;boundaries=true","Visa")</f>
        <v>Visa</v>
      </c>
      <c r="H1288" s="5" t="s">
        <v>16</v>
      </c>
      <c r="I1288" s="8">
        <v>41.115679999999998</v>
      </c>
      <c r="J1288" s="9">
        <v>50.166840000000001</v>
      </c>
      <c r="K1288" s="9">
        <v>51.695419999999999</v>
      </c>
      <c r="L1288" s="14">
        <v>42.035719999999998</v>
      </c>
      <c r="M1288" s="9">
        <v>50.595950000000002</v>
      </c>
      <c r="N1288" s="9">
        <v>52.213909999999998</v>
      </c>
      <c r="O1288" s="14">
        <v>42.131129999999999</v>
      </c>
      <c r="P1288" s="9">
        <v>50.624400000000001</v>
      </c>
      <c r="Q1288" s="9">
        <v>52.243229999999997</v>
      </c>
      <c r="R1288" s="23">
        <v>45.153570000000002</v>
      </c>
      <c r="S1288" s="8">
        <v>9.5409999999999995E-2</v>
      </c>
      <c r="T1288" s="9">
        <v>2.845E-2</v>
      </c>
      <c r="U1288" s="24">
        <v>2.9319999999999999E-2</v>
      </c>
    </row>
    <row r="1289" spans="1:21" ht="12" customHeight="1" x14ac:dyDescent="0.25">
      <c r="A1289" s="5">
        <v>3175</v>
      </c>
      <c r="B1289" s="19" t="s">
        <v>640</v>
      </c>
      <c r="C1289" s="19" t="s">
        <v>12</v>
      </c>
      <c r="D1289" s="5" t="s">
        <v>641</v>
      </c>
      <c r="E1289" s="6">
        <v>366850.88685542002</v>
      </c>
      <c r="F1289" s="6">
        <v>6548321.1995096002</v>
      </c>
      <c r="G1289" s="7" t="str">
        <f>HYPERLINK("https://minkarta.lantmateriet.se/?e=366850,88685542&amp;n=6548321,1995096&amp;z=12&amp;profile=flygbildmedgranser&amp;background=2&amp;boundaries=true","Visa")</f>
        <v>Visa</v>
      </c>
      <c r="H1289" s="5" t="s">
        <v>15</v>
      </c>
      <c r="I1289" s="8">
        <v>39.798200000000001</v>
      </c>
      <c r="J1289" s="9">
        <v>47.75273</v>
      </c>
      <c r="K1289" s="9">
        <v>49.281309999999998</v>
      </c>
      <c r="L1289" s="14">
        <v>40.718629999999997</v>
      </c>
      <c r="M1289" s="9">
        <v>48.181840000000001</v>
      </c>
      <c r="N1289" s="9">
        <v>49.799799999999998</v>
      </c>
      <c r="O1289" s="14">
        <v>40.630070000000003</v>
      </c>
      <c r="P1289" s="9">
        <v>47.960419999999999</v>
      </c>
      <c r="Q1289" s="9">
        <v>49.579259999999998</v>
      </c>
      <c r="R1289" s="23">
        <v>28.712900000000001</v>
      </c>
      <c r="S1289" s="8">
        <v>-8.856E-2</v>
      </c>
      <c r="T1289" s="9">
        <v>-0.22142000000000001</v>
      </c>
      <c r="U1289" s="24">
        <v>-0.22054000000000001</v>
      </c>
    </row>
    <row r="1290" spans="1:21" ht="12" customHeight="1" x14ac:dyDescent="0.25">
      <c r="A1290" s="5">
        <v>3176</v>
      </c>
      <c r="B1290" s="19" t="s">
        <v>642</v>
      </c>
      <c r="C1290" s="19" t="s">
        <v>12</v>
      </c>
      <c r="D1290" s="5" t="s">
        <v>643</v>
      </c>
      <c r="E1290" s="6">
        <v>366848.55462747999</v>
      </c>
      <c r="F1290" s="6">
        <v>6548303.8029145002</v>
      </c>
      <c r="G1290" s="7" t="str">
        <f>HYPERLINK("https://minkarta.lantmateriet.se/?e=366848,55462748&amp;n=6548303,8029145&amp;z=12&amp;profile=flygbildmedgranser&amp;background=2&amp;boundaries=true","Visa")</f>
        <v>Visa</v>
      </c>
      <c r="H1290" s="5" t="s">
        <v>8</v>
      </c>
      <c r="I1290" s="8">
        <v>44.075940000000003</v>
      </c>
      <c r="J1290" s="9">
        <v>54.954569999999997</v>
      </c>
      <c r="K1290" s="9">
        <v>56.483150000000002</v>
      </c>
      <c r="L1290" s="14">
        <v>44.994219999999999</v>
      </c>
      <c r="M1290" s="9">
        <v>55.383679999999998</v>
      </c>
      <c r="N1290" s="9">
        <v>57.001640000000002</v>
      </c>
      <c r="O1290" s="14">
        <v>45.084359999999997</v>
      </c>
      <c r="P1290" s="9">
        <v>55.412129999999998</v>
      </c>
      <c r="Q1290" s="9">
        <v>57.03096</v>
      </c>
      <c r="R1290" s="23">
        <v>35.962519999999998</v>
      </c>
      <c r="S1290" s="8">
        <v>9.0139999999999998E-2</v>
      </c>
      <c r="T1290" s="9">
        <v>2.845E-2</v>
      </c>
      <c r="U1290" s="24">
        <v>2.9319999999999999E-2</v>
      </c>
    </row>
    <row r="1291" spans="1:21" ht="12" customHeight="1" x14ac:dyDescent="0.25">
      <c r="A1291" s="5">
        <v>3178</v>
      </c>
      <c r="B1291" s="19" t="s">
        <v>642</v>
      </c>
      <c r="C1291" s="19" t="s">
        <v>12</v>
      </c>
      <c r="D1291" s="5" t="s">
        <v>643</v>
      </c>
      <c r="E1291" s="6">
        <v>366840.28387489001</v>
      </c>
      <c r="F1291" s="6">
        <v>6548307.5075903004</v>
      </c>
      <c r="G1291" s="7" t="str">
        <f>HYPERLINK("https://minkarta.lantmateriet.se/?e=366840,28387489&amp;n=6548307,5075903&amp;z=12&amp;profile=flygbildmedgranser&amp;background=2&amp;boundaries=true","Visa")</f>
        <v>Visa</v>
      </c>
      <c r="H1291" s="5" t="s">
        <v>10</v>
      </c>
      <c r="I1291" s="8">
        <v>44.236370000000001</v>
      </c>
      <c r="J1291" s="9">
        <v>53.151820000000001</v>
      </c>
      <c r="K1291" s="9">
        <v>54.680399999999999</v>
      </c>
      <c r="L1291" s="14">
        <v>45.151020000000003</v>
      </c>
      <c r="M1291" s="9">
        <v>53.580930000000002</v>
      </c>
      <c r="N1291" s="9">
        <v>55.198889999999999</v>
      </c>
      <c r="O1291" s="14">
        <v>45.266370000000002</v>
      </c>
      <c r="P1291" s="9">
        <v>53.609380000000002</v>
      </c>
      <c r="Q1291" s="9">
        <v>55.228209999999997</v>
      </c>
      <c r="R1291" s="23">
        <v>42.375210000000003</v>
      </c>
      <c r="S1291" s="8">
        <v>0.11534999999999999</v>
      </c>
      <c r="T1291" s="9">
        <v>2.845E-2</v>
      </c>
      <c r="U1291" s="24">
        <v>2.9319999999999999E-2</v>
      </c>
    </row>
    <row r="1292" spans="1:21" ht="12" customHeight="1" x14ac:dyDescent="0.25">
      <c r="A1292" s="5">
        <v>3179</v>
      </c>
      <c r="B1292" s="19" t="s">
        <v>642</v>
      </c>
      <c r="C1292" s="19" t="s">
        <v>12</v>
      </c>
      <c r="D1292" s="5" t="s">
        <v>643</v>
      </c>
      <c r="E1292" s="6">
        <v>366841.44241284998</v>
      </c>
      <c r="F1292" s="6">
        <v>6548299.0093758004</v>
      </c>
      <c r="G1292" s="7" t="str">
        <f>HYPERLINK("https://minkarta.lantmateriet.se/?e=366841,44241285&amp;n=6548299,0093758&amp;z=12&amp;profile=flygbildmedgranser&amp;background=2&amp;boundaries=true","Visa")</f>
        <v>Visa</v>
      </c>
      <c r="H1292" s="5" t="s">
        <v>11</v>
      </c>
      <c r="I1292" s="8">
        <v>44.618250000000003</v>
      </c>
      <c r="J1292" s="9">
        <v>54.767189999999999</v>
      </c>
      <c r="K1292" s="9">
        <v>56.295769999999997</v>
      </c>
      <c r="L1292" s="14">
        <v>45.535249999999998</v>
      </c>
      <c r="M1292" s="9">
        <v>55.196300000000001</v>
      </c>
      <c r="N1292" s="9">
        <v>56.81427</v>
      </c>
      <c r="O1292" s="14">
        <v>45.606900000000003</v>
      </c>
      <c r="P1292" s="9">
        <v>55.22475</v>
      </c>
      <c r="Q1292" s="9">
        <v>56.843589999999999</v>
      </c>
      <c r="R1292" s="23">
        <v>33.466369999999998</v>
      </c>
      <c r="S1292" s="8">
        <v>7.1650000000000005E-2</v>
      </c>
      <c r="T1292" s="9">
        <v>2.845E-2</v>
      </c>
      <c r="U1292" s="24">
        <v>2.9319999999999999E-2</v>
      </c>
    </row>
    <row r="1293" spans="1:21" ht="12" customHeight="1" x14ac:dyDescent="0.25">
      <c r="A1293" s="5">
        <v>3180</v>
      </c>
      <c r="B1293" s="19" t="s">
        <v>644</v>
      </c>
      <c r="C1293" s="19" t="s">
        <v>12</v>
      </c>
      <c r="D1293" s="5" t="s">
        <v>645</v>
      </c>
      <c r="E1293" s="6">
        <v>366837.35275358002</v>
      </c>
      <c r="F1293" s="6">
        <v>6548290.6948004998</v>
      </c>
      <c r="G1293" s="7" t="str">
        <f>HYPERLINK("https://minkarta.lantmateriet.se/?e=366837,35275358&amp;n=6548290,6948005&amp;z=12&amp;profile=flygbildmedgranser&amp;background=2&amp;boundaries=true","Visa")</f>
        <v>Visa</v>
      </c>
      <c r="H1293" s="5" t="s">
        <v>9</v>
      </c>
      <c r="I1293" s="8">
        <v>45.463540000000002</v>
      </c>
      <c r="J1293" s="9">
        <v>52.065910000000002</v>
      </c>
      <c r="K1293" s="9">
        <v>53.594499999999996</v>
      </c>
      <c r="L1293" s="14">
        <v>46.392560000000003</v>
      </c>
      <c r="M1293" s="9">
        <v>52.495019999999997</v>
      </c>
      <c r="N1293" s="9">
        <v>54.112990000000003</v>
      </c>
      <c r="O1293" s="14">
        <v>46.465780000000002</v>
      </c>
      <c r="P1293" s="9">
        <v>52.523479999999999</v>
      </c>
      <c r="Q1293" s="9">
        <v>54.142310000000002</v>
      </c>
      <c r="R1293" s="23">
        <v>38.90166</v>
      </c>
      <c r="S1293" s="8">
        <v>7.3219999999999993E-2</v>
      </c>
      <c r="T1293" s="9">
        <v>2.8459999999999999E-2</v>
      </c>
      <c r="U1293" s="24">
        <v>2.9319999999999999E-2</v>
      </c>
    </row>
    <row r="1294" spans="1:21" ht="12" customHeight="1" x14ac:dyDescent="0.25">
      <c r="A1294" s="5">
        <v>3181</v>
      </c>
      <c r="B1294" s="19" t="s">
        <v>644</v>
      </c>
      <c r="C1294" s="19" t="s">
        <v>12</v>
      </c>
      <c r="D1294" s="5" t="s">
        <v>645</v>
      </c>
      <c r="E1294" s="6">
        <v>366830.14470231999</v>
      </c>
      <c r="F1294" s="6">
        <v>6548286.3627541997</v>
      </c>
      <c r="G1294" s="7" t="str">
        <f>HYPERLINK("https://minkarta.lantmateriet.se/?e=366830,14470232&amp;n=6548286,3627542&amp;z=12&amp;profile=flygbildmedgranser&amp;background=2&amp;boundaries=true","Visa")</f>
        <v>Visa</v>
      </c>
      <c r="H1294" s="5" t="s">
        <v>10</v>
      </c>
      <c r="I1294" s="8">
        <v>48.271410000000003</v>
      </c>
      <c r="J1294" s="9">
        <v>58.969009999999997</v>
      </c>
      <c r="K1294" s="9">
        <v>60.497590000000002</v>
      </c>
      <c r="L1294" s="14">
        <v>49.184260000000002</v>
      </c>
      <c r="M1294" s="9">
        <v>59.398119999999999</v>
      </c>
      <c r="N1294" s="9">
        <v>61.016080000000002</v>
      </c>
      <c r="O1294" s="14">
        <v>49.268410000000003</v>
      </c>
      <c r="P1294" s="9">
        <v>59.426569999999998</v>
      </c>
      <c r="Q1294" s="9">
        <v>61.045400000000001</v>
      </c>
      <c r="R1294" s="23">
        <v>39.157389999999999</v>
      </c>
      <c r="S1294" s="8">
        <v>8.4150000000000003E-2</v>
      </c>
      <c r="T1294" s="9">
        <v>2.845E-2</v>
      </c>
      <c r="U1294" s="24">
        <v>2.9319999999999999E-2</v>
      </c>
    </row>
    <row r="1295" spans="1:21" ht="12" customHeight="1" x14ac:dyDescent="0.25">
      <c r="A1295" s="5">
        <v>3182</v>
      </c>
      <c r="B1295" s="19" t="s">
        <v>644</v>
      </c>
      <c r="C1295" s="19" t="s">
        <v>12</v>
      </c>
      <c r="D1295" s="5" t="s">
        <v>645</v>
      </c>
      <c r="E1295" s="6">
        <v>366829.97624947003</v>
      </c>
      <c r="F1295" s="6">
        <v>6548278.2287029997</v>
      </c>
      <c r="G1295" s="7" t="str">
        <f>HYPERLINK("https://minkarta.lantmateriet.se/?e=366829,97624947&amp;n=6548278,228703&amp;z=12&amp;profile=flygbildmedgranser&amp;background=2&amp;boundaries=true","Visa")</f>
        <v>Visa</v>
      </c>
      <c r="H1295" s="5" t="s">
        <v>11</v>
      </c>
      <c r="I1295" s="8">
        <v>50.097819999999999</v>
      </c>
      <c r="J1295" s="9">
        <v>61.794339999999998</v>
      </c>
      <c r="K1295" s="9">
        <v>63.322920000000003</v>
      </c>
      <c r="L1295" s="14">
        <v>51.016289999999998</v>
      </c>
      <c r="M1295" s="9">
        <v>62.22345</v>
      </c>
      <c r="N1295" s="9">
        <v>63.841410000000003</v>
      </c>
      <c r="O1295" s="14">
        <v>51.100200000000001</v>
      </c>
      <c r="P1295" s="9">
        <v>62.251899999999999</v>
      </c>
      <c r="Q1295" s="9">
        <v>63.870730000000002</v>
      </c>
      <c r="R1295" s="23">
        <v>34.46754</v>
      </c>
      <c r="S1295" s="8">
        <v>8.3909999999999998E-2</v>
      </c>
      <c r="T1295" s="9">
        <v>2.845E-2</v>
      </c>
      <c r="U1295" s="24">
        <v>2.9319999999999999E-2</v>
      </c>
    </row>
    <row r="1296" spans="1:21" ht="12" customHeight="1" x14ac:dyDescent="0.25">
      <c r="A1296" s="5">
        <v>3183</v>
      </c>
      <c r="B1296" s="19" t="s">
        <v>644</v>
      </c>
      <c r="C1296" s="19" t="s">
        <v>12</v>
      </c>
      <c r="D1296" s="5" t="s">
        <v>645</v>
      </c>
      <c r="E1296" s="6">
        <v>366835.38829981</v>
      </c>
      <c r="F1296" s="6">
        <v>6548280.4272501003</v>
      </c>
      <c r="G1296" s="7" t="str">
        <f>HYPERLINK("https://minkarta.lantmateriet.se/?e=366835,38829981&amp;n=6548280,4272501&amp;z=12&amp;profile=flygbildmedgranser&amp;background=2&amp;boundaries=true","Visa")</f>
        <v>Visa</v>
      </c>
      <c r="H1296" s="5" t="s">
        <v>8</v>
      </c>
      <c r="I1296" s="8">
        <v>48.983069999999998</v>
      </c>
      <c r="J1296" s="9">
        <v>59.84496</v>
      </c>
      <c r="K1296" s="9">
        <v>61.373539999999998</v>
      </c>
      <c r="L1296" s="14">
        <v>49.907049999999998</v>
      </c>
      <c r="M1296" s="9">
        <v>60.274059999999999</v>
      </c>
      <c r="N1296" s="9">
        <v>61.892029999999998</v>
      </c>
      <c r="O1296" s="14">
        <v>50.006390000000003</v>
      </c>
      <c r="P1296" s="9">
        <v>60.302509999999998</v>
      </c>
      <c r="Q1296" s="9">
        <v>61.921349999999997</v>
      </c>
      <c r="R1296" s="23">
        <v>41.844560000000001</v>
      </c>
      <c r="S1296" s="8">
        <v>9.9339999999999998E-2</v>
      </c>
      <c r="T1296" s="9">
        <v>2.845E-2</v>
      </c>
      <c r="U1296" s="24">
        <v>2.9319999999999999E-2</v>
      </c>
    </row>
    <row r="1297" spans="1:21" ht="12" customHeight="1" x14ac:dyDescent="0.25">
      <c r="A1297" s="5">
        <v>3184</v>
      </c>
      <c r="B1297" s="19" t="s">
        <v>644</v>
      </c>
      <c r="C1297" s="19" t="s">
        <v>12</v>
      </c>
      <c r="D1297" s="5" t="s">
        <v>645</v>
      </c>
      <c r="E1297" s="6">
        <v>366839.81929982</v>
      </c>
      <c r="F1297" s="6">
        <v>6548286.2477500997</v>
      </c>
      <c r="G1297" s="7" t="str">
        <f>HYPERLINK("https://minkarta.lantmateriet.se/?e=366839,81929982&amp;n=6548286,2477501&amp;z=12&amp;profile=flygbildmedgranser&amp;background=2&amp;boundaries=true","Visa")</f>
        <v>Visa</v>
      </c>
      <c r="H1297" s="5" t="s">
        <v>8</v>
      </c>
      <c r="I1297" s="8">
        <v>46.807279999999999</v>
      </c>
      <c r="J1297" s="9">
        <v>59.34986</v>
      </c>
      <c r="K1297" s="9">
        <v>60.878439999999998</v>
      </c>
      <c r="L1297" s="14">
        <v>47.734499999999997</v>
      </c>
      <c r="M1297" s="9">
        <v>59.778970000000001</v>
      </c>
      <c r="N1297" s="9">
        <v>61.396940000000001</v>
      </c>
      <c r="O1297" s="14">
        <v>47.820869999999999</v>
      </c>
      <c r="P1297" s="9">
        <v>59.80742</v>
      </c>
      <c r="Q1297" s="9">
        <v>61.426259999999999</v>
      </c>
      <c r="R1297" s="23">
        <v>36.961939999999998</v>
      </c>
      <c r="S1297" s="8">
        <v>8.6370000000000002E-2</v>
      </c>
      <c r="T1297" s="9">
        <v>2.845E-2</v>
      </c>
      <c r="U1297" s="24">
        <v>2.9319999999999999E-2</v>
      </c>
    </row>
    <row r="1298" spans="1:21" ht="12" customHeight="1" x14ac:dyDescent="0.25">
      <c r="A1298" s="5">
        <v>3185</v>
      </c>
      <c r="B1298" s="19" t="s">
        <v>646</v>
      </c>
      <c r="C1298" s="19" t="s">
        <v>12</v>
      </c>
      <c r="D1298" s="5" t="s">
        <v>647</v>
      </c>
      <c r="E1298" s="6">
        <v>366818.03915993997</v>
      </c>
      <c r="F1298" s="6">
        <v>6548256.3602518998</v>
      </c>
      <c r="G1298" s="7" t="str">
        <f>HYPERLINK("https://minkarta.lantmateriet.se/?e=366818,03915994&amp;n=6548256,3602519&amp;z=12&amp;profile=flygbildmedgranser&amp;background=2&amp;boundaries=true","Visa")</f>
        <v>Visa</v>
      </c>
      <c r="H1298" s="5" t="s">
        <v>11</v>
      </c>
      <c r="I1298" s="8">
        <v>56.50441</v>
      </c>
      <c r="J1298" s="9">
        <v>67.149159999999995</v>
      </c>
      <c r="K1298" s="9">
        <v>68.67774</v>
      </c>
      <c r="L1298" s="14">
        <v>57.417360000000002</v>
      </c>
      <c r="M1298" s="9">
        <v>67.578270000000003</v>
      </c>
      <c r="N1298" s="9">
        <v>69.196240000000003</v>
      </c>
      <c r="O1298" s="14">
        <v>57.492539999999998</v>
      </c>
      <c r="P1298" s="9">
        <v>67.606719999999996</v>
      </c>
      <c r="Q1298" s="9">
        <v>69.225560000000002</v>
      </c>
      <c r="R1298" s="23">
        <v>32.721769999999999</v>
      </c>
      <c r="S1298" s="8">
        <v>7.5179999999999997E-2</v>
      </c>
      <c r="T1298" s="9">
        <v>2.845E-2</v>
      </c>
      <c r="U1298" s="24">
        <v>2.9319999999999999E-2</v>
      </c>
    </row>
    <row r="1299" spans="1:21" ht="12" customHeight="1" x14ac:dyDescent="0.25">
      <c r="A1299" s="5">
        <v>3186</v>
      </c>
      <c r="B1299" s="19" t="s">
        <v>646</v>
      </c>
      <c r="C1299" s="19" t="s">
        <v>12</v>
      </c>
      <c r="D1299" s="5" t="s">
        <v>647</v>
      </c>
      <c r="E1299" s="6">
        <v>366823.43175112002</v>
      </c>
      <c r="F1299" s="6">
        <v>6548258.5511609996</v>
      </c>
      <c r="G1299" s="7" t="str">
        <f>HYPERLINK("https://minkarta.lantmateriet.se/?e=366823,43175112&amp;n=6548258,551161&amp;z=12&amp;profile=flygbildmedgranser&amp;background=2&amp;boundaries=true","Visa")</f>
        <v>Visa</v>
      </c>
      <c r="H1299" s="5" t="s">
        <v>8</v>
      </c>
      <c r="I1299" s="8">
        <v>47.761240000000001</v>
      </c>
      <c r="J1299" s="9">
        <v>55.17501</v>
      </c>
      <c r="K1299" s="9">
        <v>56.703589999999998</v>
      </c>
      <c r="L1299" s="14">
        <v>48.687370000000001</v>
      </c>
      <c r="M1299" s="9">
        <v>55.604120000000002</v>
      </c>
      <c r="N1299" s="9">
        <v>57.222079999999998</v>
      </c>
      <c r="O1299" s="14">
        <v>48.799349999999997</v>
      </c>
      <c r="P1299" s="9">
        <v>55.632570000000001</v>
      </c>
      <c r="Q1299" s="9">
        <v>57.251399999999997</v>
      </c>
      <c r="R1299" s="23">
        <v>41.869880000000002</v>
      </c>
      <c r="S1299" s="8">
        <v>0.11198</v>
      </c>
      <c r="T1299" s="9">
        <v>2.845E-2</v>
      </c>
      <c r="U1299" s="24">
        <v>2.9319999999999999E-2</v>
      </c>
    </row>
    <row r="1300" spans="1:21" ht="12" customHeight="1" x14ac:dyDescent="0.25">
      <c r="A1300" s="5">
        <v>3187</v>
      </c>
      <c r="B1300" s="19" t="s">
        <v>646</v>
      </c>
      <c r="C1300" s="19" t="s">
        <v>12</v>
      </c>
      <c r="D1300" s="5" t="s">
        <v>647</v>
      </c>
      <c r="E1300" s="6">
        <v>366828.01125007001</v>
      </c>
      <c r="F1300" s="6">
        <v>6548264.3031591</v>
      </c>
      <c r="G1300" s="7" t="str">
        <f>HYPERLINK("https://minkarta.lantmateriet.se/?e=366828,01125007&amp;n=6548264,3031591&amp;z=12&amp;profile=flygbildmedgranser&amp;background=2&amp;boundaries=true","Visa")</f>
        <v>Visa</v>
      </c>
      <c r="H1300" s="5" t="s">
        <v>8</v>
      </c>
      <c r="I1300" s="8">
        <v>48.443809999999999</v>
      </c>
      <c r="J1300" s="9">
        <v>60.036659999999998</v>
      </c>
      <c r="K1300" s="9">
        <v>61.565240000000003</v>
      </c>
      <c r="L1300" s="14">
        <v>49.368189999999998</v>
      </c>
      <c r="M1300" s="9">
        <v>60.465760000000003</v>
      </c>
      <c r="N1300" s="9">
        <v>62.083730000000003</v>
      </c>
      <c r="O1300" s="14">
        <v>49.44126</v>
      </c>
      <c r="P1300" s="9">
        <v>60.494300000000003</v>
      </c>
      <c r="Q1300" s="9">
        <v>62.113140000000001</v>
      </c>
      <c r="R1300" s="23">
        <v>38.774090000000001</v>
      </c>
      <c r="S1300" s="8">
        <v>7.3069999999999996E-2</v>
      </c>
      <c r="T1300" s="9">
        <v>2.8539999999999999E-2</v>
      </c>
      <c r="U1300" s="24">
        <v>2.9409999999999999E-2</v>
      </c>
    </row>
    <row r="1301" spans="1:21" ht="12" customHeight="1" x14ac:dyDescent="0.25">
      <c r="A1301" s="5">
        <v>3188</v>
      </c>
      <c r="B1301" s="19" t="s">
        <v>646</v>
      </c>
      <c r="C1301" s="19" t="s">
        <v>12</v>
      </c>
      <c r="D1301" s="5" t="s">
        <v>647</v>
      </c>
      <c r="E1301" s="6">
        <v>366825.60384296998</v>
      </c>
      <c r="F1301" s="6">
        <v>6548268.7702516001</v>
      </c>
      <c r="G1301" s="7" t="str">
        <f>HYPERLINK("https://minkarta.lantmateriet.se/?e=366825,60384297&amp;n=6548268,7702516&amp;z=12&amp;profile=flygbildmedgranser&amp;background=2&amp;boundaries=true","Visa")</f>
        <v>Visa</v>
      </c>
      <c r="H1301" s="5" t="s">
        <v>9</v>
      </c>
      <c r="I1301" s="8">
        <v>43.607939999999999</v>
      </c>
      <c r="J1301" s="9">
        <v>54.270440000000001</v>
      </c>
      <c r="K1301" s="9">
        <v>55.799019999999999</v>
      </c>
      <c r="L1301" s="14">
        <v>44.516750000000002</v>
      </c>
      <c r="M1301" s="9">
        <v>54.699539999999999</v>
      </c>
      <c r="N1301" s="9">
        <v>56.317509999999999</v>
      </c>
      <c r="O1301" s="14">
        <v>44.645530000000001</v>
      </c>
      <c r="P1301" s="9">
        <v>54.727989999999998</v>
      </c>
      <c r="Q1301" s="9">
        <v>56.346829999999997</v>
      </c>
      <c r="R1301" s="23">
        <v>43.586860000000001</v>
      </c>
      <c r="S1301" s="8">
        <v>0.12878000000000001</v>
      </c>
      <c r="T1301" s="9">
        <v>2.845E-2</v>
      </c>
      <c r="U1301" s="24">
        <v>2.9319999999999999E-2</v>
      </c>
    </row>
    <row r="1302" spans="1:21" ht="12" customHeight="1" x14ac:dyDescent="0.25">
      <c r="A1302" s="5">
        <v>3189</v>
      </c>
      <c r="B1302" s="19" t="s">
        <v>646</v>
      </c>
      <c r="C1302" s="19" t="s">
        <v>12</v>
      </c>
      <c r="D1302" s="5" t="s">
        <v>647</v>
      </c>
      <c r="E1302" s="6">
        <v>366818.35325082002</v>
      </c>
      <c r="F1302" s="6">
        <v>6548264.4843429001</v>
      </c>
      <c r="G1302" s="7" t="str">
        <f>HYPERLINK("https://minkarta.lantmateriet.se/?e=366818,35325082&amp;n=6548264,4843429&amp;z=12&amp;profile=flygbildmedgranser&amp;background=2&amp;boundaries=true","Visa")</f>
        <v>Visa</v>
      </c>
      <c r="H1302" s="5" t="s">
        <v>10</v>
      </c>
      <c r="I1302" s="8">
        <v>53.800730000000001</v>
      </c>
      <c r="J1302" s="9">
        <v>65.811670000000007</v>
      </c>
      <c r="K1302" s="9">
        <v>67.340249999999997</v>
      </c>
      <c r="L1302" s="14">
        <v>54.711170000000003</v>
      </c>
      <c r="M1302" s="9">
        <v>66.240780000000001</v>
      </c>
      <c r="N1302" s="9">
        <v>67.858739999999997</v>
      </c>
      <c r="O1302" s="14">
        <v>54.838560000000001</v>
      </c>
      <c r="P1302" s="9">
        <v>66.266369999999995</v>
      </c>
      <c r="Q1302" s="9">
        <v>67.885199999999998</v>
      </c>
      <c r="R1302" s="23">
        <v>45.094140000000003</v>
      </c>
      <c r="S1302" s="8">
        <v>0.12739</v>
      </c>
      <c r="T1302" s="9">
        <v>2.5590000000000002E-2</v>
      </c>
      <c r="U1302" s="24">
        <v>2.6460000000000001E-2</v>
      </c>
    </row>
    <row r="1303" spans="1:21" ht="12" customHeight="1" x14ac:dyDescent="0.25">
      <c r="A1303" s="5">
        <v>3224</v>
      </c>
      <c r="B1303" s="19" t="s">
        <v>648</v>
      </c>
      <c r="C1303" s="19" t="s">
        <v>12</v>
      </c>
      <c r="D1303" s="5" t="s">
        <v>649</v>
      </c>
      <c r="E1303" s="6">
        <v>366440.42298204999</v>
      </c>
      <c r="F1303" s="6">
        <v>6548634.6798865004</v>
      </c>
      <c r="G1303" s="7" t="str">
        <f>HYPERLINK("https://minkarta.lantmateriet.se/?e=366440,42298205&amp;n=6548634,6798865&amp;z=12&amp;profile=flygbildmedgranser&amp;background=2&amp;boundaries=true","Visa")</f>
        <v>Visa</v>
      </c>
      <c r="H1303" s="5" t="s">
        <v>8</v>
      </c>
      <c r="I1303" s="8">
        <v>54.261470000000003</v>
      </c>
      <c r="J1303" s="9">
        <v>69.407039999999995</v>
      </c>
      <c r="K1303" s="9">
        <v>71.859210000000004</v>
      </c>
      <c r="L1303" s="14">
        <v>55.049439999999997</v>
      </c>
      <c r="M1303" s="9">
        <v>70.543909999999997</v>
      </c>
      <c r="N1303" s="9">
        <v>72.300389999999993</v>
      </c>
      <c r="O1303" s="14">
        <v>55.134920000000001</v>
      </c>
      <c r="P1303" s="9">
        <v>70.593699999999998</v>
      </c>
      <c r="Q1303" s="9">
        <v>72.327600000000004</v>
      </c>
      <c r="R1303" s="23">
        <v>37.816740000000003</v>
      </c>
      <c r="S1303" s="8">
        <v>8.548E-2</v>
      </c>
      <c r="T1303" s="9">
        <v>4.9790000000000001E-2</v>
      </c>
      <c r="U1303" s="24">
        <v>2.7210000000000002E-2</v>
      </c>
    </row>
    <row r="1304" spans="1:21" ht="12" customHeight="1" x14ac:dyDescent="0.25">
      <c r="A1304" s="5">
        <v>3226</v>
      </c>
      <c r="B1304" s="19" t="s">
        <v>648</v>
      </c>
      <c r="C1304" s="19" t="s">
        <v>12</v>
      </c>
      <c r="D1304" s="5" t="s">
        <v>649</v>
      </c>
      <c r="E1304" s="6">
        <v>366438.71261667</v>
      </c>
      <c r="F1304" s="6">
        <v>6548643.1249829</v>
      </c>
      <c r="G1304" s="7" t="str">
        <f>HYPERLINK("https://minkarta.lantmateriet.se/?e=366438,71261667&amp;n=6548643,1249829&amp;z=12&amp;profile=flygbildmedgranser&amp;background=2&amp;boundaries=true","Visa")</f>
        <v>Visa</v>
      </c>
      <c r="H1304" s="5" t="s">
        <v>9</v>
      </c>
      <c r="I1304" s="8">
        <v>45.612920000000003</v>
      </c>
      <c r="J1304" s="9">
        <v>56.63129</v>
      </c>
      <c r="K1304" s="9">
        <v>59.083469999999998</v>
      </c>
      <c r="L1304" s="14">
        <v>46.462249999999997</v>
      </c>
      <c r="M1304" s="9">
        <v>57.768169999999998</v>
      </c>
      <c r="N1304" s="9">
        <v>59.524650000000001</v>
      </c>
      <c r="O1304" s="14">
        <v>46.681959999999997</v>
      </c>
      <c r="P1304" s="9">
        <v>57.817959999999999</v>
      </c>
      <c r="Q1304" s="9">
        <v>59.551859999999998</v>
      </c>
      <c r="R1304" s="23">
        <v>37.493699999999997</v>
      </c>
      <c r="S1304" s="8">
        <v>0.21970999999999999</v>
      </c>
      <c r="T1304" s="9">
        <v>4.9790000000000001E-2</v>
      </c>
      <c r="U1304" s="24">
        <v>2.7210000000000002E-2</v>
      </c>
    </row>
    <row r="1305" spans="1:21" ht="12" customHeight="1" x14ac:dyDescent="0.25">
      <c r="A1305" s="5">
        <v>3227</v>
      </c>
      <c r="B1305" s="19" t="s">
        <v>648</v>
      </c>
      <c r="C1305" s="19" t="s">
        <v>12</v>
      </c>
      <c r="D1305" s="5" t="s">
        <v>649</v>
      </c>
      <c r="E1305" s="6">
        <v>366432.51211581001</v>
      </c>
      <c r="F1305" s="6">
        <v>6548649.9599839002</v>
      </c>
      <c r="G1305" s="7" t="str">
        <f>HYPERLINK("https://minkarta.lantmateriet.se/?e=366432,51211581&amp;n=6548649,9599839&amp;z=12&amp;profile=flygbildmedgranser&amp;background=2&amp;boundaries=true","Visa")</f>
        <v>Visa</v>
      </c>
      <c r="H1305" s="5" t="s">
        <v>9</v>
      </c>
      <c r="I1305" s="8">
        <v>43.374609999999997</v>
      </c>
      <c r="J1305" s="9">
        <v>47.497610000000002</v>
      </c>
      <c r="K1305" s="9">
        <v>49.76511</v>
      </c>
      <c r="L1305" s="14">
        <v>44.23948</v>
      </c>
      <c r="M1305" s="9">
        <v>48.157490000000003</v>
      </c>
      <c r="N1305" s="9">
        <v>50.495780000000003</v>
      </c>
      <c r="O1305" s="14">
        <v>44.478140000000003</v>
      </c>
      <c r="P1305" s="9">
        <v>48.202419999999996</v>
      </c>
      <c r="Q1305" s="9">
        <v>50.53857</v>
      </c>
      <c r="R1305" s="23">
        <v>37.039439999999999</v>
      </c>
      <c r="S1305" s="8">
        <v>0.23866000000000001</v>
      </c>
      <c r="T1305" s="9">
        <v>4.4929999999999998E-2</v>
      </c>
      <c r="U1305" s="24">
        <v>4.2790000000000002E-2</v>
      </c>
    </row>
    <row r="1306" spans="1:21" ht="12" customHeight="1" x14ac:dyDescent="0.25">
      <c r="A1306" s="5">
        <v>3228</v>
      </c>
      <c r="B1306" s="19" t="s">
        <v>648</v>
      </c>
      <c r="C1306" s="19" t="s">
        <v>12</v>
      </c>
      <c r="D1306" s="5" t="s">
        <v>649</v>
      </c>
      <c r="E1306" s="6">
        <v>366428.42751886998</v>
      </c>
      <c r="F1306" s="6">
        <v>6548648.7216165997</v>
      </c>
      <c r="G1306" s="7" t="str">
        <f>HYPERLINK("https://minkarta.lantmateriet.se/?e=366428,42751887&amp;n=6548648,7216166&amp;z=12&amp;profile=flygbildmedgranser&amp;background=2&amp;boundaries=true","Visa")</f>
        <v>Visa</v>
      </c>
      <c r="H1306" s="5" t="s">
        <v>10</v>
      </c>
      <c r="I1306" s="8">
        <v>53.13158</v>
      </c>
      <c r="J1306" s="9">
        <v>66.897120000000001</v>
      </c>
      <c r="K1306" s="9">
        <v>69.349289999999996</v>
      </c>
      <c r="L1306" s="14">
        <v>53.919040000000003</v>
      </c>
      <c r="M1306" s="9">
        <v>68.033990000000003</v>
      </c>
      <c r="N1306" s="9">
        <v>69.790469999999999</v>
      </c>
      <c r="O1306" s="14">
        <v>53.982170000000004</v>
      </c>
      <c r="P1306" s="9">
        <v>68.083789999999993</v>
      </c>
      <c r="Q1306" s="9">
        <v>69.817679999999996</v>
      </c>
      <c r="R1306" s="23">
        <v>23.363569999999999</v>
      </c>
      <c r="S1306" s="8">
        <v>6.3130000000000006E-2</v>
      </c>
      <c r="T1306" s="9">
        <v>4.9799999999999997E-2</v>
      </c>
      <c r="U1306" s="24">
        <v>2.7210000000000002E-2</v>
      </c>
    </row>
    <row r="1307" spans="1:21" ht="12" customHeight="1" x14ac:dyDescent="0.25">
      <c r="A1307" s="5">
        <v>3230</v>
      </c>
      <c r="B1307" s="19" t="s">
        <v>648</v>
      </c>
      <c r="C1307" s="19" t="s">
        <v>12</v>
      </c>
      <c r="D1307" s="5" t="s">
        <v>649</v>
      </c>
      <c r="E1307" s="6">
        <v>366426.55238597997</v>
      </c>
      <c r="F1307" s="6">
        <v>6548644.8875203999</v>
      </c>
      <c r="G1307" s="7" t="str">
        <f>HYPERLINK("https://minkarta.lantmateriet.se/?e=366426,55238598&amp;n=6548644,8875204&amp;z=12&amp;profile=flygbildmedgranser&amp;background=2&amp;boundaries=true","Visa")</f>
        <v>Visa</v>
      </c>
      <c r="H1307" s="5" t="s">
        <v>11</v>
      </c>
      <c r="I1307" s="8">
        <v>56.215139999999998</v>
      </c>
      <c r="J1307" s="9">
        <v>69.096260000000001</v>
      </c>
      <c r="K1307" s="9">
        <v>71.548429999999996</v>
      </c>
      <c r="L1307" s="14">
        <v>56.992550000000001</v>
      </c>
      <c r="M1307" s="9">
        <v>70.233130000000003</v>
      </c>
      <c r="N1307" s="9">
        <v>71.989620000000002</v>
      </c>
      <c r="O1307" s="14">
        <v>57.054670000000002</v>
      </c>
      <c r="P1307" s="9">
        <v>70.282929999999993</v>
      </c>
      <c r="Q1307" s="9">
        <v>72.016819999999996</v>
      </c>
      <c r="R1307" s="23">
        <v>25.1599</v>
      </c>
      <c r="S1307" s="8">
        <v>6.2120000000000002E-2</v>
      </c>
      <c r="T1307" s="9">
        <v>4.9799999999999997E-2</v>
      </c>
      <c r="U1307" s="24">
        <v>2.7199999999999998E-2</v>
      </c>
    </row>
    <row r="1308" spans="1:21" ht="12" customHeight="1" x14ac:dyDescent="0.25">
      <c r="A1308" s="5">
        <v>3231</v>
      </c>
      <c r="B1308" s="19" t="s">
        <v>648</v>
      </c>
      <c r="C1308" s="19" t="s">
        <v>12</v>
      </c>
      <c r="D1308" s="5" t="s">
        <v>649</v>
      </c>
      <c r="E1308" s="6">
        <v>366432.36038561002</v>
      </c>
      <c r="F1308" s="6">
        <v>6548637.7185207997</v>
      </c>
      <c r="G1308" s="7" t="str">
        <f>HYPERLINK("https://minkarta.lantmateriet.se/?e=366432,36038561&amp;n=6548637,7185208&amp;z=12&amp;profile=flygbildmedgranser&amp;background=2&amp;boundaries=true","Visa")</f>
        <v>Visa</v>
      </c>
      <c r="H1308" s="5" t="s">
        <v>11</v>
      </c>
      <c r="I1308" s="8">
        <v>56.760849999999998</v>
      </c>
      <c r="J1308" s="9">
        <v>69.395309999999995</v>
      </c>
      <c r="K1308" s="9">
        <v>71.847480000000004</v>
      </c>
      <c r="L1308" s="14">
        <v>57.537509999999997</v>
      </c>
      <c r="M1308" s="9">
        <v>70.532179999999997</v>
      </c>
      <c r="N1308" s="9">
        <v>72.288669999999996</v>
      </c>
      <c r="O1308" s="14">
        <v>57.599739999999997</v>
      </c>
      <c r="P1308" s="9">
        <v>70.581980000000001</v>
      </c>
      <c r="Q1308" s="9">
        <v>72.315870000000004</v>
      </c>
      <c r="R1308" s="23">
        <v>27.114429999999999</v>
      </c>
      <c r="S1308" s="8">
        <v>6.2230000000000001E-2</v>
      </c>
      <c r="T1308" s="9">
        <v>4.9799999999999997E-2</v>
      </c>
      <c r="U1308" s="24">
        <v>2.7199999999999998E-2</v>
      </c>
    </row>
    <row r="1309" spans="1:21" ht="12" customHeight="1" x14ac:dyDescent="0.25">
      <c r="A1309" s="5">
        <v>3232</v>
      </c>
      <c r="B1309" s="19" t="s">
        <v>650</v>
      </c>
      <c r="C1309" s="19" t="s">
        <v>12</v>
      </c>
      <c r="D1309" s="5" t="s">
        <v>651</v>
      </c>
      <c r="E1309" s="6">
        <v>366668.36296419002</v>
      </c>
      <c r="F1309" s="6">
        <v>6548207.3891447997</v>
      </c>
      <c r="G1309" s="7" t="str">
        <f>HYPERLINK("https://minkarta.lantmateriet.se/?e=366668,36296419&amp;n=6548207,3891448&amp;z=12&amp;profile=flygbildmedgranser&amp;background=2&amp;boundaries=true","Visa")</f>
        <v>Visa</v>
      </c>
      <c r="H1309" s="5" t="s">
        <v>13</v>
      </c>
      <c r="I1309" s="8">
        <v>54.07508</v>
      </c>
      <c r="J1309" s="9">
        <v>63.548729999999999</v>
      </c>
      <c r="K1309" s="9">
        <v>65.07732</v>
      </c>
      <c r="L1309" s="14">
        <v>54.989280000000001</v>
      </c>
      <c r="M1309" s="9">
        <v>63.97784</v>
      </c>
      <c r="N1309" s="9">
        <v>65.59581</v>
      </c>
      <c r="O1309" s="14">
        <v>55.08128</v>
      </c>
      <c r="P1309" s="9">
        <v>64.006290000000007</v>
      </c>
      <c r="Q1309" s="9">
        <v>65.625129999999999</v>
      </c>
      <c r="R1309" s="23">
        <v>39.874839999999999</v>
      </c>
      <c r="S1309" s="8">
        <v>9.1999999999999998E-2</v>
      </c>
      <c r="T1309" s="9">
        <v>2.845E-2</v>
      </c>
      <c r="U1309" s="24">
        <v>2.9319999999999999E-2</v>
      </c>
    </row>
    <row r="1310" spans="1:21" ht="12" customHeight="1" x14ac:dyDescent="0.25">
      <c r="A1310" s="5">
        <v>3233</v>
      </c>
      <c r="B1310" s="19" t="s">
        <v>650</v>
      </c>
      <c r="C1310" s="19" t="s">
        <v>12</v>
      </c>
      <c r="D1310" s="5" t="s">
        <v>651</v>
      </c>
      <c r="E1310" s="6">
        <v>366662.04685709003</v>
      </c>
      <c r="F1310" s="6">
        <v>6548212.9619653001</v>
      </c>
      <c r="G1310" s="7" t="str">
        <f>HYPERLINK("https://minkarta.lantmateriet.se/?e=366662,04685709&amp;n=6548212,9619653&amp;z=12&amp;profile=flygbildmedgranser&amp;background=2&amp;boundaries=true","Visa")</f>
        <v>Visa</v>
      </c>
      <c r="H1310" s="5" t="s">
        <v>14</v>
      </c>
      <c r="I1310" s="8">
        <v>53.82103</v>
      </c>
      <c r="J1310" s="9">
        <v>63.19641</v>
      </c>
      <c r="K1310" s="9">
        <v>64.724990000000005</v>
      </c>
      <c r="L1310" s="14">
        <v>54.726570000000002</v>
      </c>
      <c r="M1310" s="9">
        <v>63.625520000000002</v>
      </c>
      <c r="N1310" s="9">
        <v>65.243480000000005</v>
      </c>
      <c r="O1310" s="14">
        <v>54.814300000000003</v>
      </c>
      <c r="P1310" s="9">
        <v>63.653970000000001</v>
      </c>
      <c r="Q1310" s="9">
        <v>65.272800000000004</v>
      </c>
      <c r="R1310" s="23">
        <v>44.752940000000002</v>
      </c>
      <c r="S1310" s="8">
        <v>8.7730000000000002E-2</v>
      </c>
      <c r="T1310" s="9">
        <v>2.845E-2</v>
      </c>
      <c r="U1310" s="24">
        <v>2.9319999999999999E-2</v>
      </c>
    </row>
    <row r="1311" spans="1:21" ht="12" customHeight="1" x14ac:dyDescent="0.25">
      <c r="A1311" s="5">
        <v>3236</v>
      </c>
      <c r="B1311" s="19" t="s">
        <v>650</v>
      </c>
      <c r="C1311" s="19" t="s">
        <v>12</v>
      </c>
      <c r="D1311" s="5" t="s">
        <v>651</v>
      </c>
      <c r="E1311" s="6">
        <v>366654.90003756998</v>
      </c>
      <c r="F1311" s="6">
        <v>6548208.5458564004</v>
      </c>
      <c r="G1311" s="7" t="str">
        <f>HYPERLINK("https://minkarta.lantmateriet.se/?e=366654,90003757&amp;n=6548208,5458564&amp;z=12&amp;profile=flygbildmedgranser&amp;background=2&amp;boundaries=true","Visa")</f>
        <v>Visa</v>
      </c>
      <c r="H1311" s="5" t="s">
        <v>16</v>
      </c>
      <c r="I1311" s="8">
        <v>45.994480000000003</v>
      </c>
      <c r="J1311" s="9">
        <v>53.284030000000001</v>
      </c>
      <c r="K1311" s="9">
        <v>55.493479999999998</v>
      </c>
      <c r="L1311" s="14">
        <v>46.876300000000001</v>
      </c>
      <c r="M1311" s="9">
        <v>53.904269999999997</v>
      </c>
      <c r="N1311" s="9">
        <v>56.242919999999998</v>
      </c>
      <c r="O1311" s="14">
        <v>46.984499999999997</v>
      </c>
      <c r="P1311" s="9">
        <v>53.945399999999999</v>
      </c>
      <c r="Q1311" s="9">
        <v>56.285290000000003</v>
      </c>
      <c r="R1311" s="23">
        <v>34.417389999999997</v>
      </c>
      <c r="S1311" s="8">
        <v>0.1082</v>
      </c>
      <c r="T1311" s="9">
        <v>4.113E-2</v>
      </c>
      <c r="U1311" s="24">
        <v>4.2369999999999998E-2</v>
      </c>
    </row>
    <row r="1312" spans="1:21" ht="12" customHeight="1" x14ac:dyDescent="0.25">
      <c r="A1312" s="5">
        <v>3237</v>
      </c>
      <c r="B1312" s="19" t="s">
        <v>650</v>
      </c>
      <c r="C1312" s="19" t="s">
        <v>12</v>
      </c>
      <c r="D1312" s="5" t="s">
        <v>651</v>
      </c>
      <c r="E1312" s="6">
        <v>366661.35014416999</v>
      </c>
      <c r="F1312" s="6">
        <v>6548204.6920387996</v>
      </c>
      <c r="G1312" s="7" t="str">
        <f>HYPERLINK("https://minkarta.lantmateriet.se/?e=366661,35014417&amp;n=6548204,6920388&amp;z=12&amp;profile=flygbildmedgranser&amp;background=2&amp;boundaries=true","Visa")</f>
        <v>Visa</v>
      </c>
      <c r="H1312" s="5" t="s">
        <v>15</v>
      </c>
      <c r="I1312" s="8">
        <v>38.757210000000001</v>
      </c>
      <c r="J1312" s="9">
        <v>44.901859999999999</v>
      </c>
      <c r="K1312" s="9">
        <v>46.430439999999997</v>
      </c>
      <c r="L1312" s="14">
        <v>39.670920000000002</v>
      </c>
      <c r="M1312" s="9">
        <v>45.330959999999997</v>
      </c>
      <c r="N1312" s="9">
        <v>46.948929999999997</v>
      </c>
      <c r="O1312" s="14">
        <v>39.7864</v>
      </c>
      <c r="P1312" s="9">
        <v>45.359409999999997</v>
      </c>
      <c r="Q1312" s="9">
        <v>46.978250000000003</v>
      </c>
      <c r="R1312" s="23">
        <v>26.921060000000001</v>
      </c>
      <c r="S1312" s="8">
        <v>0.11548</v>
      </c>
      <c r="T1312" s="9">
        <v>2.845E-2</v>
      </c>
      <c r="U1312" s="24">
        <v>2.9319999999999999E-2</v>
      </c>
    </row>
    <row r="1313" spans="1:21" ht="12" customHeight="1" x14ac:dyDescent="0.25">
      <c r="A1313" s="5">
        <v>3238</v>
      </c>
      <c r="B1313" s="19" t="s">
        <v>652</v>
      </c>
      <c r="C1313" s="19" t="s">
        <v>12</v>
      </c>
      <c r="D1313" s="5" t="s">
        <v>653</v>
      </c>
      <c r="E1313" s="6">
        <v>366465.66220317001</v>
      </c>
      <c r="F1313" s="6">
        <v>6548247.1235338999</v>
      </c>
      <c r="G1313" s="7" t="str">
        <f>HYPERLINK("https://minkarta.lantmateriet.se/?e=366465,66220317&amp;n=6548247,1235339&amp;z=12&amp;profile=flygbildmedgranser&amp;background=2&amp;boundaries=true","Visa")</f>
        <v>Visa</v>
      </c>
      <c r="H1313" s="5" t="s">
        <v>15</v>
      </c>
      <c r="I1313" s="8">
        <v>38.669879999999999</v>
      </c>
      <c r="J1313" s="9">
        <v>51.338419999999999</v>
      </c>
      <c r="K1313" s="9">
        <v>52.866999999999997</v>
      </c>
      <c r="L1313" s="14">
        <v>39.596130000000002</v>
      </c>
      <c r="M1313" s="9">
        <v>51.767519999999998</v>
      </c>
      <c r="N1313" s="9">
        <v>53.385489999999997</v>
      </c>
      <c r="O1313" s="14">
        <v>39.720999999999997</v>
      </c>
      <c r="P1313" s="9">
        <v>51.795969999999997</v>
      </c>
      <c r="Q1313" s="9">
        <v>53.414810000000003</v>
      </c>
      <c r="R1313" s="23">
        <v>25.080960000000001</v>
      </c>
      <c r="S1313" s="8">
        <v>0.12486999999999999</v>
      </c>
      <c r="T1313" s="9">
        <v>2.845E-2</v>
      </c>
      <c r="U1313" s="24">
        <v>2.9319999999999999E-2</v>
      </c>
    </row>
    <row r="1314" spans="1:21" ht="12" customHeight="1" x14ac:dyDescent="0.25">
      <c r="A1314" s="5">
        <v>3239</v>
      </c>
      <c r="B1314" s="19" t="s">
        <v>652</v>
      </c>
      <c r="C1314" s="19" t="s">
        <v>12</v>
      </c>
      <c r="D1314" s="5" t="s">
        <v>653</v>
      </c>
      <c r="E1314" s="6">
        <v>366469.67796907999</v>
      </c>
      <c r="F1314" s="6">
        <v>6548251.3732035998</v>
      </c>
      <c r="G1314" s="7" t="str">
        <f>HYPERLINK("https://minkarta.lantmateriet.se/?e=366469,67796908&amp;n=6548251,3732036&amp;z=12&amp;profile=flygbildmedgranser&amp;background=2&amp;boundaries=true","Visa")</f>
        <v>Visa</v>
      </c>
      <c r="H1314" s="5" t="s">
        <v>13</v>
      </c>
      <c r="I1314" s="8">
        <v>49.228349999999999</v>
      </c>
      <c r="J1314" s="9">
        <v>52.62153</v>
      </c>
      <c r="K1314" s="9">
        <v>54.150109999999998</v>
      </c>
      <c r="L1314" s="14">
        <v>50.131309999999999</v>
      </c>
      <c r="M1314" s="9">
        <v>53.050640000000001</v>
      </c>
      <c r="N1314" s="9">
        <v>54.668599999999998</v>
      </c>
      <c r="O1314" s="14">
        <v>50.263460000000002</v>
      </c>
      <c r="P1314" s="9">
        <v>52.998649999999998</v>
      </c>
      <c r="Q1314" s="9">
        <v>54.617489999999997</v>
      </c>
      <c r="R1314" s="23">
        <v>38.688850000000002</v>
      </c>
      <c r="S1314" s="8">
        <v>0.13214999999999999</v>
      </c>
      <c r="T1314" s="9">
        <v>-5.1990000000000001E-2</v>
      </c>
      <c r="U1314" s="24">
        <v>-5.1110000000000003E-2</v>
      </c>
    </row>
    <row r="1315" spans="1:21" ht="12" customHeight="1" x14ac:dyDescent="0.25">
      <c r="A1315" s="5">
        <v>3240</v>
      </c>
      <c r="B1315" s="19" t="s">
        <v>652</v>
      </c>
      <c r="C1315" s="19" t="s">
        <v>12</v>
      </c>
      <c r="D1315" s="5" t="s">
        <v>653</v>
      </c>
      <c r="E1315" s="6">
        <v>366466.39029894001</v>
      </c>
      <c r="F1315" s="6">
        <v>6548256.2074701004</v>
      </c>
      <c r="G1315" s="7" t="str">
        <f>HYPERLINK("https://minkarta.lantmateriet.se/?e=366466,39029894&amp;n=6548256,2074701&amp;z=12&amp;profile=flygbildmedgranser&amp;background=2&amp;boundaries=true","Visa")</f>
        <v>Visa</v>
      </c>
      <c r="H1315" s="5" t="s">
        <v>14</v>
      </c>
      <c r="I1315" s="8">
        <v>49.20382</v>
      </c>
      <c r="J1315" s="9">
        <v>52.539299999999997</v>
      </c>
      <c r="K1315" s="9">
        <v>54.067880000000002</v>
      </c>
      <c r="L1315" s="14">
        <v>50.099499999999999</v>
      </c>
      <c r="M1315" s="9">
        <v>52.968409999999999</v>
      </c>
      <c r="N1315" s="9">
        <v>54.586370000000002</v>
      </c>
      <c r="O1315" s="14">
        <v>50.2361</v>
      </c>
      <c r="P1315" s="9">
        <v>52.912930000000003</v>
      </c>
      <c r="Q1315" s="9">
        <v>54.531759999999998</v>
      </c>
      <c r="R1315" s="23">
        <v>38.618879999999997</v>
      </c>
      <c r="S1315" s="8">
        <v>0.1366</v>
      </c>
      <c r="T1315" s="9">
        <v>-5.5480000000000002E-2</v>
      </c>
      <c r="U1315" s="24">
        <v>-5.4609999999999999E-2</v>
      </c>
    </row>
    <row r="1316" spans="1:21" ht="12" customHeight="1" x14ac:dyDescent="0.25">
      <c r="A1316" s="5">
        <v>3241</v>
      </c>
      <c r="B1316" s="19" t="s">
        <v>652</v>
      </c>
      <c r="C1316" s="19" t="s">
        <v>12</v>
      </c>
      <c r="D1316" s="5" t="s">
        <v>653</v>
      </c>
      <c r="E1316" s="6">
        <v>366462.37453301001</v>
      </c>
      <c r="F1316" s="6">
        <v>6548251.9578015003</v>
      </c>
      <c r="G1316" s="7" t="str">
        <f>HYPERLINK("https://minkarta.lantmateriet.se/?e=366462,37453301&amp;n=6548251,9578015&amp;z=12&amp;profile=flygbildmedgranser&amp;background=2&amp;boundaries=true","Visa")</f>
        <v>Visa</v>
      </c>
      <c r="H1316" s="5" t="s">
        <v>16</v>
      </c>
      <c r="I1316" s="8">
        <v>37.948390000000003</v>
      </c>
      <c r="J1316" s="9">
        <v>44.329500000000003</v>
      </c>
      <c r="K1316" s="9">
        <v>46.781669999999998</v>
      </c>
      <c r="L1316" s="14">
        <v>38.794229999999999</v>
      </c>
      <c r="M1316" s="9">
        <v>45.466369999999998</v>
      </c>
      <c r="N1316" s="9">
        <v>47.222859999999997</v>
      </c>
      <c r="O1316" s="14">
        <v>38.907629999999997</v>
      </c>
      <c r="P1316" s="9">
        <v>45.516170000000002</v>
      </c>
      <c r="Q1316" s="9">
        <v>47.250059999999998</v>
      </c>
      <c r="R1316" s="23">
        <v>22.936859999999999</v>
      </c>
      <c r="S1316" s="8">
        <v>0.1134</v>
      </c>
      <c r="T1316" s="9">
        <v>4.9799999999999997E-2</v>
      </c>
      <c r="U1316" s="24">
        <v>2.7199999999999998E-2</v>
      </c>
    </row>
    <row r="1317" spans="1:21" ht="12" customHeight="1" x14ac:dyDescent="0.25">
      <c r="A1317" s="5">
        <v>3242</v>
      </c>
      <c r="B1317" s="19" t="s">
        <v>654</v>
      </c>
      <c r="C1317" s="19" t="s">
        <v>12</v>
      </c>
      <c r="D1317" s="5" t="s">
        <v>655</v>
      </c>
      <c r="E1317" s="6">
        <v>366395.20351414999</v>
      </c>
      <c r="F1317" s="6">
        <v>6548602.2270195996</v>
      </c>
      <c r="G1317" s="7" t="str">
        <f>HYPERLINK("https://minkarta.lantmateriet.se/?e=366395,20351415&amp;n=6548602,2270196&amp;z=12&amp;profile=flygbildmedgranser&amp;background=2&amp;boundaries=true","Visa")</f>
        <v>Visa</v>
      </c>
      <c r="H1317" s="5" t="s">
        <v>8</v>
      </c>
      <c r="I1317" s="8">
        <v>51.602249999999998</v>
      </c>
      <c r="J1317" s="9">
        <v>69.409750000000003</v>
      </c>
      <c r="K1317" s="9">
        <v>71.861919999999998</v>
      </c>
      <c r="L1317" s="14">
        <v>52.377189999999999</v>
      </c>
      <c r="M1317" s="9">
        <v>70.546620000000004</v>
      </c>
      <c r="N1317" s="9">
        <v>72.303110000000004</v>
      </c>
      <c r="O1317" s="14">
        <v>52.461880000000001</v>
      </c>
      <c r="P1317" s="9">
        <v>70.596419999999995</v>
      </c>
      <c r="Q1317" s="9">
        <v>72.330309999999997</v>
      </c>
      <c r="R1317" s="23">
        <v>38.213290000000001</v>
      </c>
      <c r="S1317" s="8">
        <v>8.4690000000000001E-2</v>
      </c>
      <c r="T1317" s="9">
        <v>4.9799999999999997E-2</v>
      </c>
      <c r="U1317" s="24">
        <v>2.7199999999999998E-2</v>
      </c>
    </row>
    <row r="1318" spans="1:21" ht="12" customHeight="1" x14ac:dyDescent="0.25">
      <c r="A1318" s="5">
        <v>3243</v>
      </c>
      <c r="B1318" s="19" t="s">
        <v>654</v>
      </c>
      <c r="C1318" s="19" t="s">
        <v>12</v>
      </c>
      <c r="D1318" s="5" t="s">
        <v>656</v>
      </c>
      <c r="E1318" s="6">
        <v>366374.67054760997</v>
      </c>
      <c r="F1318" s="6">
        <v>6548598.2669668002</v>
      </c>
      <c r="G1318" s="7" t="str">
        <f>HYPERLINK("https://minkarta.lantmateriet.se/?e=366374,67054761&amp;n=6548598,2669668&amp;z=12&amp;profile=flygbildmedgranser&amp;background=2&amp;boundaries=true","Visa")</f>
        <v>Visa</v>
      </c>
      <c r="H1318" s="5" t="s">
        <v>9</v>
      </c>
      <c r="I1318" s="8">
        <v>46.25029</v>
      </c>
      <c r="J1318" s="9">
        <v>62.775829999999999</v>
      </c>
      <c r="K1318" s="9">
        <v>65.227999999999994</v>
      </c>
      <c r="L1318" s="14">
        <v>47.03584</v>
      </c>
      <c r="M1318" s="9">
        <v>63.912700000000001</v>
      </c>
      <c r="N1318" s="9">
        <v>65.66919</v>
      </c>
      <c r="O1318" s="14">
        <v>47.104379999999999</v>
      </c>
      <c r="P1318" s="9">
        <v>63.962499999999999</v>
      </c>
      <c r="Q1318" s="9">
        <v>65.696399999999997</v>
      </c>
      <c r="R1318" s="23">
        <v>26.475439999999999</v>
      </c>
      <c r="S1318" s="8">
        <v>6.8540000000000004E-2</v>
      </c>
      <c r="T1318" s="9">
        <v>4.9799999999999997E-2</v>
      </c>
      <c r="U1318" s="24">
        <v>2.7210000000000002E-2</v>
      </c>
    </row>
    <row r="1319" spans="1:21" ht="12" customHeight="1" x14ac:dyDescent="0.25">
      <c r="A1319" s="5">
        <v>3244</v>
      </c>
      <c r="B1319" s="19" t="s">
        <v>654</v>
      </c>
      <c r="C1319" s="19" t="s">
        <v>12</v>
      </c>
      <c r="D1319" s="5" t="s">
        <v>655</v>
      </c>
      <c r="E1319" s="6">
        <v>366393.65148281999</v>
      </c>
      <c r="F1319" s="6">
        <v>6548608.6305155996</v>
      </c>
      <c r="G1319" s="7" t="str">
        <f>HYPERLINK("https://minkarta.lantmateriet.se/?e=366393,65148282&amp;n=6548608,6305156&amp;z=12&amp;profile=flygbildmedgranser&amp;background=2&amp;boundaries=true","Visa")</f>
        <v>Visa</v>
      </c>
      <c r="H1319" s="5" t="s">
        <v>9</v>
      </c>
      <c r="I1319" s="8">
        <v>55.624809999999997</v>
      </c>
      <c r="J1319" s="9">
        <v>70.866979999999998</v>
      </c>
      <c r="K1319" s="9">
        <v>73.319149999999993</v>
      </c>
      <c r="L1319" s="14">
        <v>56.398519999999998</v>
      </c>
      <c r="M1319" s="9">
        <v>72.00385</v>
      </c>
      <c r="N1319" s="9">
        <v>73.760339999999999</v>
      </c>
      <c r="O1319" s="14">
        <v>56.47052</v>
      </c>
      <c r="P1319" s="9">
        <v>72.053650000000005</v>
      </c>
      <c r="Q1319" s="9">
        <v>73.787540000000007</v>
      </c>
      <c r="R1319" s="23">
        <v>36.501249999999999</v>
      </c>
      <c r="S1319" s="8">
        <v>7.1999999999999995E-2</v>
      </c>
      <c r="T1319" s="9">
        <v>4.9799999999999997E-2</v>
      </c>
      <c r="U1319" s="24">
        <v>2.7199999999999998E-2</v>
      </c>
    </row>
    <row r="1320" spans="1:21" ht="12" customHeight="1" x14ac:dyDescent="0.25">
      <c r="A1320" s="5">
        <v>3245</v>
      </c>
      <c r="B1320" s="19" t="s">
        <v>654</v>
      </c>
      <c r="C1320" s="19" t="s">
        <v>12</v>
      </c>
      <c r="D1320" s="5" t="s">
        <v>656</v>
      </c>
      <c r="E1320" s="6">
        <v>366371.86703695997</v>
      </c>
      <c r="F1320" s="6">
        <v>6548596.8285496002</v>
      </c>
      <c r="G1320" s="7" t="str">
        <f>HYPERLINK("https://minkarta.lantmateriet.se/?e=366371,86703696&amp;n=6548596,8285496&amp;z=12&amp;profile=flygbildmedgranser&amp;background=2&amp;boundaries=true","Visa")</f>
        <v>Visa</v>
      </c>
      <c r="H1320" s="5" t="s">
        <v>10</v>
      </c>
      <c r="I1320" s="8">
        <v>45.787700000000001</v>
      </c>
      <c r="J1320" s="9">
        <v>61.40699</v>
      </c>
      <c r="K1320" s="9">
        <v>63.859169999999999</v>
      </c>
      <c r="L1320" s="14">
        <v>46.576520000000002</v>
      </c>
      <c r="M1320" s="9">
        <v>62.543869999999998</v>
      </c>
      <c r="N1320" s="9">
        <v>64.300349999999995</v>
      </c>
      <c r="O1320" s="14">
        <v>46.64273</v>
      </c>
      <c r="P1320" s="9">
        <v>62.59366</v>
      </c>
      <c r="Q1320" s="9">
        <v>64.327560000000005</v>
      </c>
      <c r="R1320" s="23">
        <v>28.37237</v>
      </c>
      <c r="S1320" s="8">
        <v>6.6210000000000005E-2</v>
      </c>
      <c r="T1320" s="9">
        <v>4.9790000000000001E-2</v>
      </c>
      <c r="U1320" s="24">
        <v>2.7210000000000002E-2</v>
      </c>
    </row>
    <row r="1321" spans="1:21" ht="12" customHeight="1" x14ac:dyDescent="0.25">
      <c r="A1321" s="5">
        <v>3246</v>
      </c>
      <c r="B1321" s="19" t="s">
        <v>654</v>
      </c>
      <c r="C1321" s="19" t="s">
        <v>12</v>
      </c>
      <c r="D1321" s="5" t="s">
        <v>656</v>
      </c>
      <c r="E1321" s="6">
        <v>366373.64495289</v>
      </c>
      <c r="F1321" s="6">
        <v>6548591.9110383</v>
      </c>
      <c r="G1321" s="7" t="str">
        <f>HYPERLINK("https://minkarta.lantmateriet.se/?e=366373,64495289&amp;n=6548591,9110383&amp;z=12&amp;profile=flygbildmedgranser&amp;background=2&amp;boundaries=true","Visa")</f>
        <v>Visa</v>
      </c>
      <c r="H1321" s="5" t="s">
        <v>11</v>
      </c>
      <c r="I1321" s="8">
        <v>38.063899999999997</v>
      </c>
      <c r="J1321" s="9">
        <v>44.052349999999997</v>
      </c>
      <c r="K1321" s="9">
        <v>45.580919999999999</v>
      </c>
      <c r="L1321" s="14">
        <v>38.957979999999999</v>
      </c>
      <c r="M1321" s="9">
        <v>44.481450000000002</v>
      </c>
      <c r="N1321" s="9">
        <v>46.099420000000002</v>
      </c>
      <c r="O1321" s="14">
        <v>39.096679999999999</v>
      </c>
      <c r="P1321" s="9">
        <v>44.509900000000002</v>
      </c>
      <c r="Q1321" s="9">
        <v>46.128740000000001</v>
      </c>
      <c r="R1321" s="23">
        <v>28.67455</v>
      </c>
      <c r="S1321" s="8">
        <v>0.13869999999999999</v>
      </c>
      <c r="T1321" s="9">
        <v>2.845E-2</v>
      </c>
      <c r="U1321" s="24">
        <v>2.9319999999999999E-2</v>
      </c>
    </row>
    <row r="1322" spans="1:21" ht="12" customHeight="1" x14ac:dyDescent="0.25">
      <c r="A1322" s="5">
        <v>3247</v>
      </c>
      <c r="B1322" s="19" t="s">
        <v>654</v>
      </c>
      <c r="C1322" s="19" t="s">
        <v>12</v>
      </c>
      <c r="D1322" s="5" t="s">
        <v>655</v>
      </c>
      <c r="E1322" s="6">
        <v>366387.07048785</v>
      </c>
      <c r="F1322" s="6">
        <v>6548608.2979843998</v>
      </c>
      <c r="G1322" s="7" t="str">
        <f>HYPERLINK("https://minkarta.lantmateriet.se/?e=366387,07048785&amp;n=6548608,2979844&amp;z=12&amp;profile=flygbildmedgranser&amp;background=2&amp;boundaries=true","Visa")</f>
        <v>Visa</v>
      </c>
      <c r="H1322" s="5" t="s">
        <v>10</v>
      </c>
      <c r="I1322" s="8">
        <v>50.932609999999997</v>
      </c>
      <c r="J1322" s="9">
        <v>67.726339999999993</v>
      </c>
      <c r="K1322" s="9">
        <v>70.178510000000003</v>
      </c>
      <c r="L1322" s="14">
        <v>51.708370000000002</v>
      </c>
      <c r="M1322" s="9">
        <v>68.863209999999995</v>
      </c>
      <c r="N1322" s="9">
        <v>70.619699999999995</v>
      </c>
      <c r="O1322" s="14">
        <v>51.771430000000002</v>
      </c>
      <c r="P1322" s="9">
        <v>68.91301</v>
      </c>
      <c r="Q1322" s="9">
        <v>70.646900000000002</v>
      </c>
      <c r="R1322" s="23">
        <v>23.124980000000001</v>
      </c>
      <c r="S1322" s="8">
        <v>6.3060000000000005E-2</v>
      </c>
      <c r="T1322" s="9">
        <v>4.9799999999999997E-2</v>
      </c>
      <c r="U1322" s="24">
        <v>2.7199999999999998E-2</v>
      </c>
    </row>
    <row r="1323" spans="1:21" ht="12" customHeight="1" x14ac:dyDescent="0.25">
      <c r="A1323" s="5">
        <v>3248</v>
      </c>
      <c r="B1323" s="19" t="s">
        <v>654</v>
      </c>
      <c r="C1323" s="19" t="s">
        <v>12</v>
      </c>
      <c r="D1323" s="5" t="s">
        <v>656</v>
      </c>
      <c r="E1323" s="6">
        <v>366378.85346535</v>
      </c>
      <c r="F1323" s="6">
        <v>6548591.5114548001</v>
      </c>
      <c r="G1323" s="7" t="str">
        <f>HYPERLINK("https://minkarta.lantmateriet.se/?e=366378,85346535&amp;n=6548591,5114548&amp;z=12&amp;profile=flygbildmedgranser&amp;background=2&amp;boundaries=true","Visa")</f>
        <v>Visa</v>
      </c>
      <c r="H1323" s="5" t="s">
        <v>8</v>
      </c>
      <c r="I1323" s="8">
        <v>40.954120000000003</v>
      </c>
      <c r="J1323" s="9">
        <v>58.633980000000001</v>
      </c>
      <c r="K1323" s="9">
        <v>61.086150000000004</v>
      </c>
      <c r="L1323" s="14">
        <v>41.79457</v>
      </c>
      <c r="M1323" s="9">
        <v>59.770850000000003</v>
      </c>
      <c r="N1323" s="9">
        <v>61.527340000000002</v>
      </c>
      <c r="O1323" s="14">
        <v>41.993850000000002</v>
      </c>
      <c r="P1323" s="9">
        <v>59.820650000000001</v>
      </c>
      <c r="Q1323" s="9">
        <v>61.554540000000003</v>
      </c>
      <c r="R1323" s="23">
        <v>36.006639999999997</v>
      </c>
      <c r="S1323" s="8">
        <v>0.19928000000000001</v>
      </c>
      <c r="T1323" s="9">
        <v>4.9799999999999997E-2</v>
      </c>
      <c r="U1323" s="24">
        <v>2.7199999999999998E-2</v>
      </c>
    </row>
    <row r="1324" spans="1:21" ht="12" customHeight="1" x14ac:dyDescent="0.25">
      <c r="A1324" s="5">
        <v>3249</v>
      </c>
      <c r="B1324" s="19" t="s">
        <v>654</v>
      </c>
      <c r="C1324" s="19" t="s">
        <v>12</v>
      </c>
      <c r="D1324" s="5" t="s">
        <v>655</v>
      </c>
      <c r="E1324" s="6">
        <v>366388.62251918</v>
      </c>
      <c r="F1324" s="6">
        <v>6548601.8944883998</v>
      </c>
      <c r="G1324" s="7" t="str">
        <f>HYPERLINK("https://minkarta.lantmateriet.se/?e=366388,62251918&amp;n=6548601,8944884&amp;z=12&amp;profile=flygbildmedgranser&amp;background=2&amp;boundaries=true","Visa")</f>
        <v>Visa</v>
      </c>
      <c r="H1324" s="5" t="s">
        <v>11</v>
      </c>
      <c r="I1324" s="8">
        <v>37.252879999999998</v>
      </c>
      <c r="J1324" s="9">
        <v>45.929839999999999</v>
      </c>
      <c r="K1324" s="9">
        <v>47.626350000000002</v>
      </c>
      <c r="L1324" s="14">
        <v>38.10774</v>
      </c>
      <c r="M1324" s="9">
        <v>46.716369999999998</v>
      </c>
      <c r="N1324" s="9">
        <v>47.931579999999997</v>
      </c>
      <c r="O1324" s="14">
        <v>38.246400000000001</v>
      </c>
      <c r="P1324" s="9">
        <v>46.750819999999997</v>
      </c>
      <c r="Q1324" s="9">
        <v>47.950400000000002</v>
      </c>
      <c r="R1324" s="23">
        <v>27.07123</v>
      </c>
      <c r="S1324" s="8">
        <v>0.13866000000000001</v>
      </c>
      <c r="T1324" s="9">
        <v>3.4450000000000001E-2</v>
      </c>
      <c r="U1324" s="24">
        <v>1.882E-2</v>
      </c>
    </row>
    <row r="1325" spans="1:21" ht="12" customHeight="1" x14ac:dyDescent="0.25">
      <c r="A1325" s="5">
        <v>3250</v>
      </c>
      <c r="B1325" s="19" t="s">
        <v>654</v>
      </c>
      <c r="C1325" s="19" t="s">
        <v>12</v>
      </c>
      <c r="D1325" s="5" t="s">
        <v>656</v>
      </c>
      <c r="E1325" s="6">
        <v>366379.49454822001</v>
      </c>
      <c r="F1325" s="6">
        <v>6548594.5804663999</v>
      </c>
      <c r="G1325" s="7" t="str">
        <f>HYPERLINK("https://minkarta.lantmateriet.se/?e=366379,49454822&amp;n=6548594,5804664&amp;z=12&amp;profile=flygbildmedgranser&amp;background=2&amp;boundaries=true","Visa")</f>
        <v>Visa</v>
      </c>
      <c r="H1325" s="5" t="s">
        <v>9</v>
      </c>
      <c r="I1325" s="8">
        <v>43.596080000000001</v>
      </c>
      <c r="J1325" s="9">
        <v>59.981859999999998</v>
      </c>
      <c r="K1325" s="9">
        <v>62.434040000000003</v>
      </c>
      <c r="L1325" s="14">
        <v>44.390169999999998</v>
      </c>
      <c r="M1325" s="9">
        <v>61.118740000000003</v>
      </c>
      <c r="N1325" s="9">
        <v>62.875219999999999</v>
      </c>
      <c r="O1325" s="14">
        <v>44.514330000000001</v>
      </c>
      <c r="P1325" s="9">
        <v>61.168529999999997</v>
      </c>
      <c r="Q1325" s="9">
        <v>62.902430000000003</v>
      </c>
      <c r="R1325" s="23">
        <v>35.889499999999998</v>
      </c>
      <c r="S1325" s="8">
        <v>0.12416000000000001</v>
      </c>
      <c r="T1325" s="9">
        <v>4.9790000000000001E-2</v>
      </c>
      <c r="U1325" s="24">
        <v>2.7210000000000002E-2</v>
      </c>
    </row>
    <row r="1326" spans="1:21" ht="12" customHeight="1" x14ac:dyDescent="0.25">
      <c r="A1326" s="5">
        <v>3251</v>
      </c>
      <c r="B1326" s="19" t="s">
        <v>654</v>
      </c>
      <c r="C1326" s="19" t="s">
        <v>12</v>
      </c>
      <c r="D1326" s="5" t="s">
        <v>656</v>
      </c>
      <c r="E1326" s="6">
        <v>366377.96204537997</v>
      </c>
      <c r="F1326" s="6">
        <v>6548597.5689685</v>
      </c>
      <c r="G1326" s="7" t="str">
        <f>HYPERLINK("https://minkarta.lantmateriet.se/?e=366377,96204538&amp;n=6548597,5689685&amp;z=12&amp;profile=flygbildmedgranser&amp;background=2&amp;boundaries=true","Visa")</f>
        <v>Visa</v>
      </c>
      <c r="H1326" s="5" t="s">
        <v>9</v>
      </c>
      <c r="I1326" s="8">
        <v>46.088740000000001</v>
      </c>
      <c r="J1326" s="9">
        <v>60.557580000000002</v>
      </c>
      <c r="K1326" s="9">
        <v>63.009749999999997</v>
      </c>
      <c r="L1326" s="14">
        <v>46.875100000000003</v>
      </c>
      <c r="M1326" s="9">
        <v>61.694450000000003</v>
      </c>
      <c r="N1326" s="9">
        <v>63.450940000000003</v>
      </c>
      <c r="O1326" s="14">
        <v>46.958860000000001</v>
      </c>
      <c r="P1326" s="9">
        <v>61.744250000000001</v>
      </c>
      <c r="Q1326" s="9">
        <v>63.478140000000003</v>
      </c>
      <c r="R1326" s="23">
        <v>33.877760000000002</v>
      </c>
      <c r="S1326" s="8">
        <v>8.3760000000000001E-2</v>
      </c>
      <c r="T1326" s="9">
        <v>4.9799999999999997E-2</v>
      </c>
      <c r="U1326" s="24">
        <v>2.7199999999999998E-2</v>
      </c>
    </row>
    <row r="1327" spans="1:21" ht="12" customHeight="1" x14ac:dyDescent="0.25">
      <c r="A1327" s="5">
        <v>3252</v>
      </c>
      <c r="B1327" s="19" t="s">
        <v>657</v>
      </c>
      <c r="C1327" s="19" t="s">
        <v>12</v>
      </c>
      <c r="D1327" s="5" t="s">
        <v>658</v>
      </c>
      <c r="E1327" s="6">
        <v>366405.42646231002</v>
      </c>
      <c r="F1327" s="6">
        <v>6548587.6784359002</v>
      </c>
      <c r="G1327" s="7" t="str">
        <f>HYPERLINK("https://minkarta.lantmateriet.se/?e=366405,42646231&amp;n=6548587,6784359&amp;z=12&amp;profile=flygbildmedgranser&amp;background=2&amp;boundaries=true","Visa")</f>
        <v>Visa</v>
      </c>
      <c r="H1327" s="5" t="s">
        <v>11</v>
      </c>
      <c r="I1327" s="8">
        <v>37.613689999999998</v>
      </c>
      <c r="J1327" s="9">
        <v>45.934780000000003</v>
      </c>
      <c r="K1327" s="9">
        <v>47.631279999999997</v>
      </c>
      <c r="L1327" s="14">
        <v>38.462110000000003</v>
      </c>
      <c r="M1327" s="9">
        <v>46.721310000000003</v>
      </c>
      <c r="N1327" s="9">
        <v>47.936520000000002</v>
      </c>
      <c r="O1327" s="14">
        <v>38.62135</v>
      </c>
      <c r="P1327" s="9">
        <v>46.755749999999999</v>
      </c>
      <c r="Q1327" s="9">
        <v>47.955329999999996</v>
      </c>
      <c r="R1327" s="23">
        <v>28.144300000000001</v>
      </c>
      <c r="S1327" s="8">
        <v>0.15923999999999999</v>
      </c>
      <c r="T1327" s="9">
        <v>3.4439999999999998E-2</v>
      </c>
      <c r="U1327" s="24">
        <v>1.881E-2</v>
      </c>
    </row>
    <row r="1328" spans="1:21" ht="12" customHeight="1" x14ac:dyDescent="0.25">
      <c r="A1328" s="5">
        <v>3253</v>
      </c>
      <c r="B1328" s="19" t="s">
        <v>657</v>
      </c>
      <c r="C1328" s="19" t="s">
        <v>12</v>
      </c>
      <c r="D1328" s="5" t="s">
        <v>658</v>
      </c>
      <c r="E1328" s="6">
        <v>366411.80206715001</v>
      </c>
      <c r="F1328" s="6">
        <v>6548587.6869633999</v>
      </c>
      <c r="G1328" s="7" t="str">
        <f>HYPERLINK("https://minkarta.lantmateriet.se/?e=366411,80206715&amp;n=6548587,6869634&amp;z=12&amp;profile=flygbildmedgranser&amp;background=2&amp;boundaries=true","Visa")</f>
        <v>Visa</v>
      </c>
      <c r="H1328" s="5" t="s">
        <v>8</v>
      </c>
      <c r="I1328" s="8">
        <v>48.475520000000003</v>
      </c>
      <c r="J1328" s="9">
        <v>65.995919999999998</v>
      </c>
      <c r="K1328" s="9">
        <v>68.448089999999993</v>
      </c>
      <c r="L1328" s="14">
        <v>49.264980000000001</v>
      </c>
      <c r="M1328" s="9">
        <v>67.13279</v>
      </c>
      <c r="N1328" s="9">
        <v>68.889269999999996</v>
      </c>
      <c r="O1328" s="14">
        <v>49.437190000000001</v>
      </c>
      <c r="P1328" s="9">
        <v>67.182580000000002</v>
      </c>
      <c r="Q1328" s="9">
        <v>68.916470000000004</v>
      </c>
      <c r="R1328" s="23">
        <v>39.507840000000002</v>
      </c>
      <c r="S1328" s="8">
        <v>0.17221</v>
      </c>
      <c r="T1328" s="9">
        <v>4.9790000000000001E-2</v>
      </c>
      <c r="U1328" s="24">
        <v>2.7199999999999998E-2</v>
      </c>
    </row>
    <row r="1329" spans="1:21" ht="12" customHeight="1" x14ac:dyDescent="0.25">
      <c r="A1329" s="5">
        <v>3254</v>
      </c>
      <c r="B1329" s="19" t="s">
        <v>657</v>
      </c>
      <c r="C1329" s="19" t="s">
        <v>12</v>
      </c>
      <c r="D1329" s="5" t="s">
        <v>658</v>
      </c>
      <c r="E1329" s="6">
        <v>366410.88654028001</v>
      </c>
      <c r="F1329" s="6">
        <v>6548593.9970675996</v>
      </c>
      <c r="G1329" s="7" t="str">
        <f>HYPERLINK("https://minkarta.lantmateriet.se/?e=366410,88654028&amp;n=6548593,9970676&amp;z=12&amp;profile=flygbildmedgranser&amp;background=2&amp;boundaries=true","Visa")</f>
        <v>Visa</v>
      </c>
      <c r="H1329" s="5" t="s">
        <v>9</v>
      </c>
      <c r="I1329" s="8">
        <v>54.47269</v>
      </c>
      <c r="J1329" s="9">
        <v>71.306659999999994</v>
      </c>
      <c r="K1329" s="9">
        <v>73.758830000000003</v>
      </c>
      <c r="L1329" s="14">
        <v>55.247540000000001</v>
      </c>
      <c r="M1329" s="9">
        <v>72.443529999999996</v>
      </c>
      <c r="N1329" s="9">
        <v>74.200019999999995</v>
      </c>
      <c r="O1329" s="14">
        <v>55.33287</v>
      </c>
      <c r="P1329" s="9">
        <v>72.49333</v>
      </c>
      <c r="Q1329" s="9">
        <v>74.227230000000006</v>
      </c>
      <c r="R1329" s="23">
        <v>39.83708</v>
      </c>
      <c r="S1329" s="8">
        <v>8.5330000000000003E-2</v>
      </c>
      <c r="T1329" s="9">
        <v>4.9799999999999997E-2</v>
      </c>
      <c r="U1329" s="24">
        <v>2.7210000000000002E-2</v>
      </c>
    </row>
    <row r="1330" spans="1:21" ht="12" customHeight="1" x14ac:dyDescent="0.25">
      <c r="A1330" s="5">
        <v>3255</v>
      </c>
      <c r="B1330" s="19" t="s">
        <v>657</v>
      </c>
      <c r="C1330" s="19" t="s">
        <v>12</v>
      </c>
      <c r="D1330" s="5" t="s">
        <v>658</v>
      </c>
      <c r="E1330" s="6">
        <v>366404.51093434001</v>
      </c>
      <c r="F1330" s="6">
        <v>6548593.9885400003</v>
      </c>
      <c r="G1330" s="7" t="str">
        <f>HYPERLINK("https://minkarta.lantmateriet.se/?e=366404,51093434&amp;n=6548593,98854&amp;z=12&amp;profile=flygbildmedgranser&amp;background=2&amp;boundaries=true","Visa")</f>
        <v>Visa</v>
      </c>
      <c r="H1330" s="5" t="s">
        <v>10</v>
      </c>
      <c r="I1330" s="8">
        <v>51.83981</v>
      </c>
      <c r="J1330" s="9">
        <v>69.383219999999994</v>
      </c>
      <c r="K1330" s="9">
        <v>71.835400000000007</v>
      </c>
      <c r="L1330" s="14">
        <v>52.61215</v>
      </c>
      <c r="M1330" s="9">
        <v>70.520099999999999</v>
      </c>
      <c r="N1330" s="9">
        <v>72.276579999999996</v>
      </c>
      <c r="O1330" s="14">
        <v>52.688429999999997</v>
      </c>
      <c r="P1330" s="9">
        <v>70.569890000000001</v>
      </c>
      <c r="Q1330" s="9">
        <v>72.303790000000006</v>
      </c>
      <c r="R1330" s="23">
        <v>36.581659999999999</v>
      </c>
      <c r="S1330" s="8">
        <v>7.6280000000000001E-2</v>
      </c>
      <c r="T1330" s="9">
        <v>4.9790000000000001E-2</v>
      </c>
      <c r="U1330" s="24">
        <v>2.7210000000000002E-2</v>
      </c>
    </row>
    <row r="1331" spans="1:21" ht="12" customHeight="1" x14ac:dyDescent="0.25">
      <c r="A1331" s="5">
        <v>3256</v>
      </c>
      <c r="B1331" s="19" t="s">
        <v>659</v>
      </c>
      <c r="C1331" s="19" t="s">
        <v>12</v>
      </c>
      <c r="D1331" s="5" t="s">
        <v>660</v>
      </c>
      <c r="E1331" s="6">
        <v>366429.79733007</v>
      </c>
      <c r="F1331" s="6">
        <v>6548572.0397806</v>
      </c>
      <c r="G1331" s="7" t="str">
        <f>HYPERLINK("https://minkarta.lantmateriet.se/?e=366429,79733007&amp;n=6548572,0397806&amp;z=12&amp;profile=flygbildmedgranser&amp;background=2&amp;boundaries=true","Visa")</f>
        <v>Visa</v>
      </c>
      <c r="H1331" s="5" t="s">
        <v>8</v>
      </c>
      <c r="I1331" s="8">
        <v>50.365029999999997</v>
      </c>
      <c r="J1331" s="9">
        <v>68.789119999999997</v>
      </c>
      <c r="K1331" s="9">
        <v>71.241290000000006</v>
      </c>
      <c r="L1331" s="14">
        <v>51.148380000000003</v>
      </c>
      <c r="M1331" s="9">
        <v>69.925989999999999</v>
      </c>
      <c r="N1331" s="9">
        <v>71.682479999999998</v>
      </c>
      <c r="O1331" s="14">
        <v>51.28304</v>
      </c>
      <c r="P1331" s="9">
        <v>69.975790000000003</v>
      </c>
      <c r="Q1331" s="9">
        <v>71.709689999999995</v>
      </c>
      <c r="R1331" s="23">
        <v>39.836880000000001</v>
      </c>
      <c r="S1331" s="8">
        <v>0.13466</v>
      </c>
      <c r="T1331" s="9">
        <v>4.9799999999999997E-2</v>
      </c>
      <c r="U1331" s="24">
        <v>2.7210000000000002E-2</v>
      </c>
    </row>
    <row r="1332" spans="1:21" ht="12" customHeight="1" x14ac:dyDescent="0.25">
      <c r="A1332" s="5">
        <v>3257</v>
      </c>
      <c r="B1332" s="19" t="s">
        <v>659</v>
      </c>
      <c r="C1332" s="19" t="s">
        <v>12</v>
      </c>
      <c r="D1332" s="5" t="s">
        <v>660</v>
      </c>
      <c r="E1332" s="6">
        <v>366428.47722171998</v>
      </c>
      <c r="F1332" s="6">
        <v>6548579.1113315998</v>
      </c>
      <c r="G1332" s="7" t="str">
        <f>HYPERLINK("https://minkarta.lantmateriet.se/?e=366428,47722172&amp;n=6548579,1113316&amp;z=12&amp;profile=flygbildmedgranser&amp;background=2&amp;boundaries=true","Visa")</f>
        <v>Visa</v>
      </c>
      <c r="H1332" s="5" t="s">
        <v>9</v>
      </c>
      <c r="I1332" s="8">
        <v>54.138330000000003</v>
      </c>
      <c r="J1332" s="9">
        <v>70.588620000000006</v>
      </c>
      <c r="K1332" s="9">
        <v>73.040790000000001</v>
      </c>
      <c r="L1332" s="14">
        <v>54.914389999999997</v>
      </c>
      <c r="M1332" s="9">
        <v>71.725489999999994</v>
      </c>
      <c r="N1332" s="9">
        <v>73.481970000000004</v>
      </c>
      <c r="O1332" s="14">
        <v>55.004089999999998</v>
      </c>
      <c r="P1332" s="9">
        <v>71.775279999999995</v>
      </c>
      <c r="Q1332" s="9">
        <v>73.509180000000001</v>
      </c>
      <c r="R1332" s="23">
        <v>39.438479999999998</v>
      </c>
      <c r="S1332" s="8">
        <v>8.9700000000000002E-2</v>
      </c>
      <c r="T1332" s="9">
        <v>4.9790000000000001E-2</v>
      </c>
      <c r="U1332" s="24">
        <v>2.7210000000000002E-2</v>
      </c>
    </row>
    <row r="1333" spans="1:21" ht="12" customHeight="1" x14ac:dyDescent="0.25">
      <c r="A1333" s="5">
        <v>3258</v>
      </c>
      <c r="B1333" s="19" t="s">
        <v>659</v>
      </c>
      <c r="C1333" s="19" t="s">
        <v>12</v>
      </c>
      <c r="D1333" s="5" t="s">
        <v>660</v>
      </c>
      <c r="E1333" s="6">
        <v>366421.28917285998</v>
      </c>
      <c r="F1333" s="6">
        <v>6548578.7997246003</v>
      </c>
      <c r="G1333" s="7" t="str">
        <f>HYPERLINK("https://minkarta.lantmateriet.se/?e=366421,28917286&amp;n=6548578,7997246&amp;z=12&amp;profile=flygbildmedgranser&amp;background=2&amp;boundaries=true","Visa")</f>
        <v>Visa</v>
      </c>
      <c r="H1333" s="5" t="s">
        <v>10</v>
      </c>
      <c r="I1333" s="8">
        <v>47.887129999999999</v>
      </c>
      <c r="J1333" s="9">
        <v>68.971350000000001</v>
      </c>
      <c r="K1333" s="9">
        <v>71.423519999999996</v>
      </c>
      <c r="L1333" s="14">
        <v>48.662520000000001</v>
      </c>
      <c r="M1333" s="9">
        <v>70.108220000000003</v>
      </c>
      <c r="N1333" s="9">
        <v>71.864710000000002</v>
      </c>
      <c r="O1333" s="14">
        <v>48.741700000000002</v>
      </c>
      <c r="P1333" s="9">
        <v>70.158019999999993</v>
      </c>
      <c r="Q1333" s="9">
        <v>71.891909999999996</v>
      </c>
      <c r="R1333" s="23">
        <v>35.57967</v>
      </c>
      <c r="S1333" s="8">
        <v>7.918E-2</v>
      </c>
      <c r="T1333" s="9">
        <v>4.9799999999999997E-2</v>
      </c>
      <c r="U1333" s="24">
        <v>2.7199999999999998E-2</v>
      </c>
    </row>
    <row r="1334" spans="1:21" ht="12" customHeight="1" x14ac:dyDescent="0.25">
      <c r="A1334" s="5">
        <v>3259</v>
      </c>
      <c r="B1334" s="19" t="s">
        <v>659</v>
      </c>
      <c r="C1334" s="19" t="s">
        <v>12</v>
      </c>
      <c r="D1334" s="5" t="s">
        <v>660</v>
      </c>
      <c r="E1334" s="6">
        <v>366422.60928017</v>
      </c>
      <c r="F1334" s="6">
        <v>6548571.7281724997</v>
      </c>
      <c r="G1334" s="7" t="str">
        <f>HYPERLINK("https://minkarta.lantmateriet.se/?e=366422,60928017&amp;n=6548571,7281725&amp;z=12&amp;profile=flygbildmedgranser&amp;background=2&amp;boundaries=true","Visa")</f>
        <v>Visa</v>
      </c>
      <c r="H1334" s="5" t="s">
        <v>11</v>
      </c>
      <c r="I1334" s="8">
        <v>36.773870000000002</v>
      </c>
      <c r="J1334" s="9">
        <v>43.53904</v>
      </c>
      <c r="K1334" s="9">
        <v>45.067619999999998</v>
      </c>
      <c r="L1334" s="14">
        <v>37.675159999999998</v>
      </c>
      <c r="M1334" s="9">
        <v>43.968150000000001</v>
      </c>
      <c r="N1334" s="9">
        <v>45.586109999999998</v>
      </c>
      <c r="O1334" s="14">
        <v>37.87668</v>
      </c>
      <c r="P1334" s="9">
        <v>43.996600000000001</v>
      </c>
      <c r="Q1334" s="9">
        <v>45.615430000000003</v>
      </c>
      <c r="R1334" s="23">
        <v>29.883500000000002</v>
      </c>
      <c r="S1334" s="8">
        <v>0.20152</v>
      </c>
      <c r="T1334" s="9">
        <v>2.845E-2</v>
      </c>
      <c r="U1334" s="24">
        <v>2.9319999999999999E-2</v>
      </c>
    </row>
    <row r="1335" spans="1:21" ht="12" customHeight="1" x14ac:dyDescent="0.25">
      <c r="A1335" s="5">
        <v>3260</v>
      </c>
      <c r="B1335" s="19" t="s">
        <v>661</v>
      </c>
      <c r="C1335" s="19" t="s">
        <v>12</v>
      </c>
      <c r="D1335" s="5" t="s">
        <v>662</v>
      </c>
      <c r="E1335" s="6">
        <v>366498.24616157002</v>
      </c>
      <c r="F1335" s="6">
        <v>6548500.2510216003</v>
      </c>
      <c r="G1335" s="7" t="str">
        <f>HYPERLINK("https://minkarta.lantmateriet.se/?e=366498,24616157&amp;n=6548500,2510216&amp;z=12&amp;profile=flygbildmedgranser&amp;background=2&amp;boundaries=true","Visa")</f>
        <v>Visa</v>
      </c>
      <c r="H1335" s="5" t="s">
        <v>8</v>
      </c>
      <c r="I1335" s="8">
        <v>47.441719999999997</v>
      </c>
      <c r="J1335" s="9">
        <v>61.599919999999997</v>
      </c>
      <c r="K1335" s="9">
        <v>64.052090000000007</v>
      </c>
      <c r="L1335" s="14">
        <v>48.272109999999998</v>
      </c>
      <c r="M1335" s="9">
        <v>62.736789999999999</v>
      </c>
      <c r="N1335" s="9">
        <v>64.493279999999999</v>
      </c>
      <c r="O1335" s="14">
        <v>48.370080000000002</v>
      </c>
      <c r="P1335" s="9">
        <v>62.786589999999997</v>
      </c>
      <c r="Q1335" s="9">
        <v>64.520480000000006</v>
      </c>
      <c r="R1335" s="23">
        <v>36.31758</v>
      </c>
      <c r="S1335" s="8">
        <v>9.7970000000000002E-2</v>
      </c>
      <c r="T1335" s="9">
        <v>4.9799999999999997E-2</v>
      </c>
      <c r="U1335" s="24">
        <v>2.7199999999999998E-2</v>
      </c>
    </row>
    <row r="1336" spans="1:21" ht="12" customHeight="1" x14ac:dyDescent="0.25">
      <c r="A1336" s="5">
        <v>3261</v>
      </c>
      <c r="B1336" s="19" t="s">
        <v>661</v>
      </c>
      <c r="C1336" s="19" t="s">
        <v>12</v>
      </c>
      <c r="D1336" s="5" t="s">
        <v>662</v>
      </c>
      <c r="E1336" s="6">
        <v>366497.75448206998</v>
      </c>
      <c r="F1336" s="6">
        <v>6548506.2486618999</v>
      </c>
      <c r="G1336" s="7" t="str">
        <f>HYPERLINK("https://minkarta.lantmateriet.se/?e=366497,75448207&amp;n=6548506,2486619&amp;z=12&amp;profile=flygbildmedgranser&amp;background=2&amp;boundaries=true","Visa")</f>
        <v>Visa</v>
      </c>
      <c r="H1336" s="5" t="s">
        <v>9</v>
      </c>
      <c r="I1336" s="8">
        <v>52.207979999999999</v>
      </c>
      <c r="J1336" s="9">
        <v>64.622799999999998</v>
      </c>
      <c r="K1336" s="9">
        <v>67.074969999999993</v>
      </c>
      <c r="L1336" s="14">
        <v>53.009410000000003</v>
      </c>
      <c r="M1336" s="9">
        <v>65.75967</v>
      </c>
      <c r="N1336" s="9">
        <v>67.516159999999999</v>
      </c>
      <c r="O1336" s="14">
        <v>53.119370000000004</v>
      </c>
      <c r="P1336" s="9">
        <v>65.809470000000005</v>
      </c>
      <c r="Q1336" s="9">
        <v>67.543369999999996</v>
      </c>
      <c r="R1336" s="23">
        <v>38.814300000000003</v>
      </c>
      <c r="S1336" s="8">
        <v>0.10996</v>
      </c>
      <c r="T1336" s="9">
        <v>4.9799999999999997E-2</v>
      </c>
      <c r="U1336" s="24">
        <v>2.7210000000000002E-2</v>
      </c>
    </row>
    <row r="1337" spans="1:21" ht="12" customHeight="1" x14ac:dyDescent="0.25">
      <c r="A1337" s="5">
        <v>3262</v>
      </c>
      <c r="B1337" s="19" t="s">
        <v>661</v>
      </c>
      <c r="C1337" s="19" t="s">
        <v>12</v>
      </c>
      <c r="D1337" s="5" t="s">
        <v>662</v>
      </c>
      <c r="E1337" s="6">
        <v>366491.74684043002</v>
      </c>
      <c r="F1337" s="6">
        <v>6548506.5879824003</v>
      </c>
      <c r="G1337" s="7" t="str">
        <f>HYPERLINK("https://minkarta.lantmateriet.se/?e=366491,74684043&amp;n=6548506,5879824&amp;z=12&amp;profile=flygbildmedgranser&amp;background=2&amp;boundaries=true","Visa")</f>
        <v>Visa</v>
      </c>
      <c r="H1337" s="5" t="s">
        <v>10</v>
      </c>
      <c r="I1337" s="8">
        <v>48.87086</v>
      </c>
      <c r="J1337" s="9">
        <v>63.902470000000001</v>
      </c>
      <c r="K1337" s="9">
        <v>66.354640000000003</v>
      </c>
      <c r="L1337" s="14">
        <v>49.665349999999997</v>
      </c>
      <c r="M1337" s="9">
        <v>65.039339999999996</v>
      </c>
      <c r="N1337" s="9">
        <v>66.795829999999995</v>
      </c>
      <c r="O1337" s="14">
        <v>49.744239999999998</v>
      </c>
      <c r="P1337" s="9">
        <v>65.08914</v>
      </c>
      <c r="Q1337" s="9">
        <v>66.823040000000006</v>
      </c>
      <c r="R1337" s="23">
        <v>36.343530000000001</v>
      </c>
      <c r="S1337" s="8">
        <v>7.8890000000000002E-2</v>
      </c>
      <c r="T1337" s="9">
        <v>4.9799999999999997E-2</v>
      </c>
      <c r="U1337" s="24">
        <v>2.7210000000000002E-2</v>
      </c>
    </row>
    <row r="1338" spans="1:21" ht="12" customHeight="1" x14ac:dyDescent="0.25">
      <c r="A1338" s="5">
        <v>3263</v>
      </c>
      <c r="B1338" s="19" t="s">
        <v>661</v>
      </c>
      <c r="C1338" s="19" t="s">
        <v>12</v>
      </c>
      <c r="D1338" s="5" t="s">
        <v>662</v>
      </c>
      <c r="E1338" s="6">
        <v>366492.23851992999</v>
      </c>
      <c r="F1338" s="6">
        <v>6548500.5903420998</v>
      </c>
      <c r="G1338" s="7" t="str">
        <f>HYPERLINK("https://minkarta.lantmateriet.se/?e=366492,23851993&amp;n=6548500,5903421&amp;z=12&amp;profile=flygbildmedgranser&amp;background=2&amp;boundaries=true","Visa")</f>
        <v>Visa</v>
      </c>
      <c r="H1338" s="5" t="s">
        <v>11</v>
      </c>
      <c r="I1338" s="8">
        <v>41.829219999999999</v>
      </c>
      <c r="J1338" s="9">
        <v>50.122990000000001</v>
      </c>
      <c r="K1338" s="9">
        <v>51.65157</v>
      </c>
      <c r="L1338" s="14">
        <v>42.72025</v>
      </c>
      <c r="M1338" s="9">
        <v>50.552100000000003</v>
      </c>
      <c r="N1338" s="9">
        <v>52.170059999999999</v>
      </c>
      <c r="O1338" s="14">
        <v>42.881219999999999</v>
      </c>
      <c r="P1338" s="9">
        <v>50.580550000000002</v>
      </c>
      <c r="Q1338" s="9">
        <v>52.199379999999998</v>
      </c>
      <c r="R1338" s="23">
        <v>36.166319999999999</v>
      </c>
      <c r="S1338" s="8">
        <v>0.16097</v>
      </c>
      <c r="T1338" s="9">
        <v>2.845E-2</v>
      </c>
      <c r="U1338" s="24">
        <v>2.9319999999999999E-2</v>
      </c>
    </row>
    <row r="1339" spans="1:21" ht="12" customHeight="1" x14ac:dyDescent="0.25">
      <c r="A1339" s="5">
        <v>3264</v>
      </c>
      <c r="B1339" s="19" t="s">
        <v>663</v>
      </c>
      <c r="C1339" s="19" t="s">
        <v>12</v>
      </c>
      <c r="D1339" s="5" t="s">
        <v>664</v>
      </c>
      <c r="E1339" s="6">
        <v>366479.38205200998</v>
      </c>
      <c r="F1339" s="6">
        <v>6548518.8729109</v>
      </c>
      <c r="G1339" s="7" t="str">
        <f>HYPERLINK("https://minkarta.lantmateriet.se/?e=366479,38205201&amp;n=6548518,8729109&amp;z=12&amp;profile=flygbildmedgranser&amp;background=2&amp;boundaries=true","Visa")</f>
        <v>Visa</v>
      </c>
      <c r="H1339" s="5" t="s">
        <v>8</v>
      </c>
      <c r="I1339" s="8">
        <v>48.082129999999999</v>
      </c>
      <c r="J1339" s="9">
        <v>62.086640000000003</v>
      </c>
      <c r="K1339" s="9">
        <v>64.538809999999998</v>
      </c>
      <c r="L1339" s="14">
        <v>48.914790000000004</v>
      </c>
      <c r="M1339" s="9">
        <v>63.223509999999997</v>
      </c>
      <c r="N1339" s="9">
        <v>64.98</v>
      </c>
      <c r="O1339" s="14">
        <v>49.179679999999998</v>
      </c>
      <c r="P1339" s="9">
        <v>63.273310000000002</v>
      </c>
      <c r="Q1339" s="9">
        <v>65.007199999999997</v>
      </c>
      <c r="R1339" s="23">
        <v>42.603209999999997</v>
      </c>
      <c r="S1339" s="8">
        <v>0.26489000000000001</v>
      </c>
      <c r="T1339" s="9">
        <v>4.9799999999999997E-2</v>
      </c>
      <c r="U1339" s="24">
        <v>2.7199999999999998E-2</v>
      </c>
    </row>
    <row r="1340" spans="1:21" ht="12" customHeight="1" x14ac:dyDescent="0.25">
      <c r="A1340" s="5">
        <v>3265</v>
      </c>
      <c r="B1340" s="19" t="s">
        <v>663</v>
      </c>
      <c r="C1340" s="19" t="s">
        <v>12</v>
      </c>
      <c r="D1340" s="5" t="s">
        <v>664</v>
      </c>
      <c r="E1340" s="6">
        <v>366480.82708662999</v>
      </c>
      <c r="F1340" s="6">
        <v>6548522.7420584997</v>
      </c>
      <c r="G1340" s="7" t="str">
        <f>HYPERLINK("https://minkarta.lantmateriet.se/?e=366480,82708663&amp;n=6548522,7420585&amp;z=12&amp;profile=flygbildmedgranser&amp;background=2&amp;boundaries=true","Visa")</f>
        <v>Visa</v>
      </c>
      <c r="H1340" s="5" t="s">
        <v>9</v>
      </c>
      <c r="I1340" s="8">
        <v>51.132840000000002</v>
      </c>
      <c r="J1340" s="9">
        <v>64.366969999999995</v>
      </c>
      <c r="K1340" s="9">
        <v>66.819149999999993</v>
      </c>
      <c r="L1340" s="14">
        <v>51.936149999999998</v>
      </c>
      <c r="M1340" s="9">
        <v>65.50385</v>
      </c>
      <c r="N1340" s="9">
        <v>67.260329999999996</v>
      </c>
      <c r="O1340" s="14">
        <v>52.08155</v>
      </c>
      <c r="P1340" s="9">
        <v>65.553640000000001</v>
      </c>
      <c r="Q1340" s="9">
        <v>67.287540000000007</v>
      </c>
      <c r="R1340" s="23">
        <v>43.65063</v>
      </c>
      <c r="S1340" s="8">
        <v>0.1454</v>
      </c>
      <c r="T1340" s="9">
        <v>4.9790000000000001E-2</v>
      </c>
      <c r="U1340" s="24">
        <v>2.7210000000000002E-2</v>
      </c>
    </row>
    <row r="1341" spans="1:21" ht="12" customHeight="1" x14ac:dyDescent="0.25">
      <c r="A1341" s="5">
        <v>3266</v>
      </c>
      <c r="B1341" s="19" t="s">
        <v>663</v>
      </c>
      <c r="C1341" s="19" t="s">
        <v>12</v>
      </c>
      <c r="D1341" s="5" t="s">
        <v>664</v>
      </c>
      <c r="E1341" s="6">
        <v>366479.69208693999</v>
      </c>
      <c r="F1341" s="6">
        <v>6548526.3970582001</v>
      </c>
      <c r="G1341" s="7" t="str">
        <f>HYPERLINK("https://minkarta.lantmateriet.se/?e=366479,69208694&amp;n=6548526,3970582&amp;z=12&amp;profile=flygbildmedgranser&amp;background=2&amp;boundaries=true","Visa")</f>
        <v>Visa</v>
      </c>
      <c r="H1341" s="5" t="s">
        <v>9</v>
      </c>
      <c r="I1341" s="8">
        <v>52.482900000000001</v>
      </c>
      <c r="J1341" s="9">
        <v>64.94144</v>
      </c>
      <c r="K1341" s="9">
        <v>67.393609999999995</v>
      </c>
      <c r="L1341" s="14">
        <v>53.278660000000002</v>
      </c>
      <c r="M1341" s="9">
        <v>66.078310000000002</v>
      </c>
      <c r="N1341" s="9">
        <v>67.834789999999998</v>
      </c>
      <c r="O1341" s="14">
        <v>53.45814</v>
      </c>
      <c r="P1341" s="9">
        <v>66.128110000000007</v>
      </c>
      <c r="Q1341" s="9">
        <v>67.861999999999995</v>
      </c>
      <c r="R1341" s="23">
        <v>42.398870000000002</v>
      </c>
      <c r="S1341" s="8">
        <v>0.17948</v>
      </c>
      <c r="T1341" s="9">
        <v>4.9799999999999997E-2</v>
      </c>
      <c r="U1341" s="24">
        <v>2.7210000000000002E-2</v>
      </c>
    </row>
    <row r="1342" spans="1:21" ht="12" customHeight="1" x14ac:dyDescent="0.25">
      <c r="A1342" s="5">
        <v>3267</v>
      </c>
      <c r="B1342" s="19" t="s">
        <v>663</v>
      </c>
      <c r="C1342" s="19" t="s">
        <v>12</v>
      </c>
      <c r="D1342" s="5" t="s">
        <v>664</v>
      </c>
      <c r="E1342" s="6">
        <v>366476.33209131</v>
      </c>
      <c r="F1342" s="6">
        <v>6548527.2570537999</v>
      </c>
      <c r="G1342" s="7" t="str">
        <f>HYPERLINK("https://minkarta.lantmateriet.se/?e=366476,33209131&amp;n=6548527,2570538&amp;z=12&amp;profile=flygbildmedgranser&amp;background=2&amp;boundaries=true","Visa")</f>
        <v>Visa</v>
      </c>
      <c r="H1342" s="5" t="s">
        <v>9</v>
      </c>
      <c r="I1342" s="8">
        <v>51.585189999999997</v>
      </c>
      <c r="J1342" s="9">
        <v>65.003399999999999</v>
      </c>
      <c r="K1342" s="9">
        <v>67.455569999999994</v>
      </c>
      <c r="L1342" s="14">
        <v>52.369390000000003</v>
      </c>
      <c r="M1342" s="9">
        <v>66.140270000000001</v>
      </c>
      <c r="N1342" s="9">
        <v>67.89676</v>
      </c>
      <c r="O1342" s="14">
        <v>52.44699</v>
      </c>
      <c r="P1342" s="9">
        <v>66.190070000000006</v>
      </c>
      <c r="Q1342" s="9">
        <v>67.923969999999997</v>
      </c>
      <c r="R1342" s="23">
        <v>37.351239999999997</v>
      </c>
      <c r="S1342" s="8">
        <v>7.7600000000000002E-2</v>
      </c>
      <c r="T1342" s="9">
        <v>4.9799999999999997E-2</v>
      </c>
      <c r="U1342" s="24">
        <v>2.7210000000000002E-2</v>
      </c>
    </row>
    <row r="1343" spans="1:21" ht="12" customHeight="1" x14ac:dyDescent="0.25">
      <c r="A1343" s="5">
        <v>3268</v>
      </c>
      <c r="B1343" s="19" t="s">
        <v>663</v>
      </c>
      <c r="C1343" s="19" t="s">
        <v>12</v>
      </c>
      <c r="D1343" s="5" t="s">
        <v>664</v>
      </c>
      <c r="E1343" s="6">
        <v>366472.74794998998</v>
      </c>
      <c r="F1343" s="6">
        <v>6548525.5370931001</v>
      </c>
      <c r="G1343" s="7" t="str">
        <f>HYPERLINK("https://minkarta.lantmateriet.se/?e=366472,74794999&amp;n=6548525,5370931&amp;z=12&amp;profile=flygbildmedgranser&amp;background=2&amp;boundaries=true","Visa")</f>
        <v>Visa</v>
      </c>
      <c r="H1343" s="5" t="s">
        <v>10</v>
      </c>
      <c r="I1343" s="8">
        <v>49.334879999999998</v>
      </c>
      <c r="J1343" s="9">
        <v>64.421300000000002</v>
      </c>
      <c r="K1343" s="9">
        <v>66.873469999999998</v>
      </c>
      <c r="L1343" s="14">
        <v>50.114080000000001</v>
      </c>
      <c r="M1343" s="9">
        <v>65.558170000000004</v>
      </c>
      <c r="N1343" s="9">
        <v>67.31465</v>
      </c>
      <c r="O1343" s="14">
        <v>50.187179999999998</v>
      </c>
      <c r="P1343" s="9">
        <v>65.607960000000006</v>
      </c>
      <c r="Q1343" s="9">
        <v>67.341859999999997</v>
      </c>
      <c r="R1343" s="23">
        <v>34.922080000000001</v>
      </c>
      <c r="S1343" s="8">
        <v>7.3099999999999998E-2</v>
      </c>
      <c r="T1343" s="9">
        <v>4.9790000000000001E-2</v>
      </c>
      <c r="U1343" s="24">
        <v>2.7210000000000002E-2</v>
      </c>
    </row>
    <row r="1344" spans="1:21" ht="12" customHeight="1" x14ac:dyDescent="0.25">
      <c r="A1344" s="5">
        <v>3269</v>
      </c>
      <c r="B1344" s="19" t="s">
        <v>663</v>
      </c>
      <c r="C1344" s="19" t="s">
        <v>12</v>
      </c>
      <c r="D1344" s="5" t="s">
        <v>664</v>
      </c>
      <c r="E1344" s="6">
        <v>366473.40291395999</v>
      </c>
      <c r="F1344" s="6">
        <v>6548519.5579468999</v>
      </c>
      <c r="G1344" s="7" t="str">
        <f>HYPERLINK("https://minkarta.lantmateriet.se/?e=366473,40291396&amp;n=6548519,5579469&amp;z=12&amp;profile=flygbildmedgranser&amp;background=2&amp;boundaries=true","Visa")</f>
        <v>Visa</v>
      </c>
      <c r="H1344" s="5" t="s">
        <v>11</v>
      </c>
      <c r="I1344" s="8">
        <v>39.9651</v>
      </c>
      <c r="J1344" s="9">
        <v>48.46123</v>
      </c>
      <c r="K1344" s="9">
        <v>50.157730000000001</v>
      </c>
      <c r="L1344" s="14">
        <v>40.820999999999998</v>
      </c>
      <c r="M1344" s="9">
        <v>49.24776</v>
      </c>
      <c r="N1344" s="9">
        <v>50.462969999999999</v>
      </c>
      <c r="O1344" s="14">
        <v>40.946510000000004</v>
      </c>
      <c r="P1344" s="9">
        <v>49.282209999999999</v>
      </c>
      <c r="Q1344" s="9">
        <v>50.481780000000001</v>
      </c>
      <c r="R1344" s="23">
        <v>28.635529999999999</v>
      </c>
      <c r="S1344" s="8">
        <v>0.12551000000000001</v>
      </c>
      <c r="T1344" s="9">
        <v>3.4450000000000001E-2</v>
      </c>
      <c r="U1344" s="24">
        <v>1.881E-2</v>
      </c>
    </row>
    <row r="1345" spans="1:21" ht="12" customHeight="1" x14ac:dyDescent="0.25">
      <c r="A1345" s="5">
        <v>3270</v>
      </c>
      <c r="B1345" s="19" t="s">
        <v>665</v>
      </c>
      <c r="C1345" s="19" t="s">
        <v>12</v>
      </c>
      <c r="D1345" s="5" t="s">
        <v>666</v>
      </c>
      <c r="E1345" s="6">
        <v>366342.44998277002</v>
      </c>
      <c r="F1345" s="6">
        <v>6548610.6103670001</v>
      </c>
      <c r="G1345" s="7" t="str">
        <f>HYPERLINK("https://minkarta.lantmateriet.se/?e=366342,44998277&amp;n=6548610,610367&amp;z=12&amp;profile=flygbildmedgranser&amp;background=2&amp;boundaries=true","Visa")</f>
        <v>Visa</v>
      </c>
      <c r="H1345" s="5" t="s">
        <v>8</v>
      </c>
      <c r="I1345" s="8">
        <v>38.530859999999997</v>
      </c>
      <c r="J1345" s="9">
        <v>43.90701</v>
      </c>
      <c r="K1345" s="9">
        <v>45.435589999999998</v>
      </c>
      <c r="L1345" s="14">
        <v>39.41872</v>
      </c>
      <c r="M1345" s="9">
        <v>44.336120000000001</v>
      </c>
      <c r="N1345" s="9">
        <v>45.954090000000001</v>
      </c>
      <c r="O1345" s="14">
        <v>39.7258</v>
      </c>
      <c r="P1345" s="9">
        <v>44.364570000000001</v>
      </c>
      <c r="Q1345" s="9">
        <v>45.983409999999999</v>
      </c>
      <c r="R1345" s="23">
        <v>35.21575</v>
      </c>
      <c r="S1345" s="8">
        <v>0.30708000000000002</v>
      </c>
      <c r="T1345" s="9">
        <v>2.845E-2</v>
      </c>
      <c r="U1345" s="24">
        <v>2.9319999999999999E-2</v>
      </c>
    </row>
    <row r="1346" spans="1:21" ht="12" customHeight="1" x14ac:dyDescent="0.25">
      <c r="A1346" s="5">
        <v>3271</v>
      </c>
      <c r="B1346" s="19" t="s">
        <v>665</v>
      </c>
      <c r="C1346" s="19" t="s">
        <v>12</v>
      </c>
      <c r="D1346" s="5" t="s">
        <v>666</v>
      </c>
      <c r="E1346" s="6">
        <v>366334.21403037</v>
      </c>
      <c r="F1346" s="6">
        <v>6548621.9946494997</v>
      </c>
      <c r="G1346" s="7" t="str">
        <f>HYPERLINK("https://minkarta.lantmateriet.se/?e=366334,21403037&amp;n=6548621,9946495&amp;z=12&amp;profile=flygbildmedgranser&amp;background=2&amp;boundaries=true","Visa")</f>
        <v>Visa</v>
      </c>
      <c r="H1346" s="5" t="s">
        <v>10</v>
      </c>
      <c r="I1346" s="8">
        <v>52.549579999999999</v>
      </c>
      <c r="J1346" s="9">
        <v>67.122249999999994</v>
      </c>
      <c r="K1346" s="9">
        <v>68.818759999999997</v>
      </c>
      <c r="L1346" s="14">
        <v>53.342950000000002</v>
      </c>
      <c r="M1346" s="9">
        <v>67.908779999999993</v>
      </c>
      <c r="N1346" s="9">
        <v>69.123990000000006</v>
      </c>
      <c r="O1346" s="14">
        <v>53.404850000000003</v>
      </c>
      <c r="P1346" s="9">
        <v>67.94323</v>
      </c>
      <c r="Q1346" s="9">
        <v>69.142809999999997</v>
      </c>
      <c r="R1346" s="23">
        <v>21.85567</v>
      </c>
      <c r="S1346" s="8">
        <v>6.1899999999999997E-2</v>
      </c>
      <c r="T1346" s="9">
        <v>3.4450000000000001E-2</v>
      </c>
      <c r="U1346" s="24">
        <v>1.882E-2</v>
      </c>
    </row>
    <row r="1347" spans="1:21" ht="12" customHeight="1" x14ac:dyDescent="0.25">
      <c r="A1347" s="5">
        <v>3272</v>
      </c>
      <c r="B1347" s="19" t="s">
        <v>665</v>
      </c>
      <c r="C1347" s="19" t="s">
        <v>12</v>
      </c>
      <c r="D1347" s="5" t="s">
        <v>666</v>
      </c>
      <c r="E1347" s="6">
        <v>366348.59998485999</v>
      </c>
      <c r="F1347" s="6">
        <v>6548614.2123694001</v>
      </c>
      <c r="G1347" s="7" t="str">
        <f>HYPERLINK("https://minkarta.lantmateriet.se/?e=366348,59998486&amp;n=6548614,2123694&amp;z=12&amp;profile=flygbildmedgranser&amp;background=2&amp;boundaries=true","Visa")</f>
        <v>Visa</v>
      </c>
      <c r="H1347" s="5" t="s">
        <v>8</v>
      </c>
      <c r="I1347" s="8">
        <v>46.826590000000003</v>
      </c>
      <c r="J1347" s="9">
        <v>63.850639999999999</v>
      </c>
      <c r="K1347" s="9">
        <v>66.302819999999997</v>
      </c>
      <c r="L1347" s="14">
        <v>47.628430000000002</v>
      </c>
      <c r="M1347" s="9">
        <v>64.987520000000004</v>
      </c>
      <c r="N1347" s="9">
        <v>66.744</v>
      </c>
      <c r="O1347" s="14">
        <v>47.723889999999997</v>
      </c>
      <c r="P1347" s="9">
        <v>65.037319999999994</v>
      </c>
      <c r="Q1347" s="9">
        <v>66.771209999999996</v>
      </c>
      <c r="R1347" s="23">
        <v>34.981830000000002</v>
      </c>
      <c r="S1347" s="8">
        <v>9.5460000000000003E-2</v>
      </c>
      <c r="T1347" s="9">
        <v>4.9799999999999997E-2</v>
      </c>
      <c r="U1347" s="24">
        <v>2.7210000000000002E-2</v>
      </c>
    </row>
    <row r="1348" spans="1:21" ht="12" customHeight="1" x14ac:dyDescent="0.25">
      <c r="A1348" s="5">
        <v>3273</v>
      </c>
      <c r="B1348" s="19" t="s">
        <v>665</v>
      </c>
      <c r="C1348" s="19" t="s">
        <v>12</v>
      </c>
      <c r="D1348" s="5" t="s">
        <v>666</v>
      </c>
      <c r="E1348" s="6">
        <v>366348.92413403001</v>
      </c>
      <c r="F1348" s="6">
        <v>6548621.2144855</v>
      </c>
      <c r="G1348" s="7" t="str">
        <f>HYPERLINK("https://minkarta.lantmateriet.se/?e=366348,92413403&amp;n=6548621,2144855&amp;z=12&amp;profile=flygbildmedgranser&amp;background=2&amp;boundaries=true","Visa")</f>
        <v>Visa</v>
      </c>
      <c r="H1348" s="5" t="s">
        <v>9</v>
      </c>
      <c r="I1348" s="8">
        <v>52.782600000000002</v>
      </c>
      <c r="J1348" s="9">
        <v>66.593909999999994</v>
      </c>
      <c r="K1348" s="9">
        <v>68.290409999999994</v>
      </c>
      <c r="L1348" s="14">
        <v>53.568579999999997</v>
      </c>
      <c r="M1348" s="9">
        <v>67.380439999999993</v>
      </c>
      <c r="N1348" s="9">
        <v>68.595650000000006</v>
      </c>
      <c r="O1348" s="14">
        <v>53.637860000000003</v>
      </c>
      <c r="P1348" s="9">
        <v>67.41489</v>
      </c>
      <c r="Q1348" s="9">
        <v>68.614459999999994</v>
      </c>
      <c r="R1348" s="23">
        <v>33.413910000000001</v>
      </c>
      <c r="S1348" s="8">
        <v>6.9279999999999994E-2</v>
      </c>
      <c r="T1348" s="9">
        <v>3.4450000000000001E-2</v>
      </c>
      <c r="U1348" s="24">
        <v>1.881E-2</v>
      </c>
    </row>
    <row r="1349" spans="1:21" ht="12" customHeight="1" x14ac:dyDescent="0.25">
      <c r="A1349" s="5">
        <v>3274</v>
      </c>
      <c r="B1349" s="19" t="s">
        <v>665</v>
      </c>
      <c r="C1349" s="19" t="s">
        <v>12</v>
      </c>
      <c r="D1349" s="5" t="s">
        <v>666</v>
      </c>
      <c r="E1349" s="6">
        <v>366335.26085640001</v>
      </c>
      <c r="F1349" s="6">
        <v>6548617.3195288004</v>
      </c>
      <c r="G1349" s="7" t="str">
        <f>HYPERLINK("https://minkarta.lantmateriet.se/?e=366335,2608564&amp;n=6548617,3195288&amp;z=12&amp;profile=flygbildmedgranser&amp;background=2&amp;boundaries=true","Visa")</f>
        <v>Visa</v>
      </c>
      <c r="H1349" s="5" t="s">
        <v>11</v>
      </c>
      <c r="I1349" s="8">
        <v>39.4315</v>
      </c>
      <c r="J1349" s="9">
        <v>50.941279999999999</v>
      </c>
      <c r="K1349" s="9">
        <v>52.637790000000003</v>
      </c>
      <c r="L1349" s="14">
        <v>40.262439999999998</v>
      </c>
      <c r="M1349" s="9">
        <v>51.727809999999998</v>
      </c>
      <c r="N1349" s="9">
        <v>52.943019999999997</v>
      </c>
      <c r="O1349" s="14">
        <v>40.348500000000001</v>
      </c>
      <c r="P1349" s="9">
        <v>51.762259999999998</v>
      </c>
      <c r="Q1349" s="9">
        <v>52.961840000000002</v>
      </c>
      <c r="R1349" s="23">
        <v>23.10671</v>
      </c>
      <c r="S1349" s="8">
        <v>8.6059999999999998E-2</v>
      </c>
      <c r="T1349" s="9">
        <v>3.4450000000000001E-2</v>
      </c>
      <c r="U1349" s="24">
        <v>1.882E-2</v>
      </c>
    </row>
    <row r="1350" spans="1:21" ht="12" customHeight="1" x14ac:dyDescent="0.25">
      <c r="A1350" s="5">
        <v>3276</v>
      </c>
      <c r="B1350" s="19" t="s">
        <v>665</v>
      </c>
      <c r="C1350" s="19" t="s">
        <v>12</v>
      </c>
      <c r="D1350" s="5" t="s">
        <v>666</v>
      </c>
      <c r="E1350" s="6">
        <v>366342.01201672998</v>
      </c>
      <c r="F1350" s="6">
        <v>6548620.0511341998</v>
      </c>
      <c r="G1350" s="7" t="str">
        <f>HYPERLINK("https://minkarta.lantmateriet.se/?e=366342,01201673&amp;n=6548620,0511342&amp;z=12&amp;profile=flygbildmedgranser&amp;background=2&amp;boundaries=true","Visa")</f>
        <v>Visa</v>
      </c>
      <c r="H1350" s="5" t="s">
        <v>10</v>
      </c>
      <c r="I1350" s="8">
        <v>53.411650000000002</v>
      </c>
      <c r="J1350" s="9">
        <v>68.924989999999994</v>
      </c>
      <c r="K1350" s="9">
        <v>70.621489999999994</v>
      </c>
      <c r="L1350" s="14">
        <v>54.201889999999999</v>
      </c>
      <c r="M1350" s="9">
        <v>69.711519999999993</v>
      </c>
      <c r="N1350" s="9">
        <v>70.926730000000006</v>
      </c>
      <c r="O1350" s="14">
        <v>54.264850000000003</v>
      </c>
      <c r="P1350" s="9">
        <v>69.745959999999997</v>
      </c>
      <c r="Q1350" s="9">
        <v>70.945539999999994</v>
      </c>
      <c r="R1350" s="23">
        <v>21.79758</v>
      </c>
      <c r="S1350" s="8">
        <v>6.2960000000000002E-2</v>
      </c>
      <c r="T1350" s="9">
        <v>3.4439999999999998E-2</v>
      </c>
      <c r="U1350" s="24">
        <v>1.881E-2</v>
      </c>
    </row>
    <row r="1351" spans="1:21" ht="12" customHeight="1" x14ac:dyDescent="0.25">
      <c r="A1351" s="5">
        <v>3277</v>
      </c>
      <c r="B1351" s="19" t="s">
        <v>665</v>
      </c>
      <c r="C1351" s="19" t="s">
        <v>12</v>
      </c>
      <c r="D1351" s="5" t="s">
        <v>666</v>
      </c>
      <c r="E1351" s="6">
        <v>366337.98901756998</v>
      </c>
      <c r="F1351" s="6">
        <v>6548614.5641350998</v>
      </c>
      <c r="G1351" s="7" t="str">
        <f>HYPERLINK("https://minkarta.lantmateriet.se/?e=366337,98901757&amp;n=6548614,5641351&amp;z=12&amp;profile=flygbildmedgranser&amp;background=2&amp;boundaries=true","Visa")</f>
        <v>Visa</v>
      </c>
      <c r="H1351" s="5" t="s">
        <v>10</v>
      </c>
      <c r="I1351" s="8">
        <v>40.048850000000002</v>
      </c>
      <c r="J1351" s="9">
        <v>50.926659999999998</v>
      </c>
      <c r="K1351" s="9">
        <v>52.623170000000002</v>
      </c>
      <c r="L1351" s="14">
        <v>40.886760000000002</v>
      </c>
      <c r="M1351" s="9">
        <v>51.713189999999997</v>
      </c>
      <c r="N1351" s="9">
        <v>52.928400000000003</v>
      </c>
      <c r="O1351" s="14">
        <v>40.974440000000001</v>
      </c>
      <c r="P1351" s="9">
        <v>51.747639999999997</v>
      </c>
      <c r="Q1351" s="9">
        <v>52.947220000000002</v>
      </c>
      <c r="R1351" s="23">
        <v>22.038930000000001</v>
      </c>
      <c r="S1351" s="8">
        <v>8.7679999999999994E-2</v>
      </c>
      <c r="T1351" s="9">
        <v>3.4450000000000001E-2</v>
      </c>
      <c r="U1351" s="24">
        <v>1.882E-2</v>
      </c>
    </row>
    <row r="1352" spans="1:21" ht="12" customHeight="1" x14ac:dyDescent="0.25">
      <c r="A1352" s="5">
        <v>3280</v>
      </c>
      <c r="B1352" s="19" t="s">
        <v>665</v>
      </c>
      <c r="C1352" s="19" t="s">
        <v>12</v>
      </c>
      <c r="D1352" s="5" t="s">
        <v>666</v>
      </c>
      <c r="E1352" s="6">
        <v>366339.33136865002</v>
      </c>
      <c r="F1352" s="6">
        <v>6548611.5855179001</v>
      </c>
      <c r="G1352" s="7" t="str">
        <f>HYPERLINK("https://minkarta.lantmateriet.se/?e=366339,33136865&amp;n=6548611,5855179&amp;z=12&amp;profile=flygbildmedgranser&amp;background=2&amp;boundaries=true","Visa")</f>
        <v>Visa</v>
      </c>
      <c r="H1352" s="5" t="s">
        <v>11</v>
      </c>
      <c r="I1352" s="8">
        <v>39.3431</v>
      </c>
      <c r="J1352" s="9">
        <v>47.784080000000003</v>
      </c>
      <c r="K1352" s="9">
        <v>49.480580000000003</v>
      </c>
      <c r="L1352" s="14">
        <v>40.192749999999997</v>
      </c>
      <c r="M1352" s="9">
        <v>48.570610000000002</v>
      </c>
      <c r="N1352" s="9">
        <v>49.785820000000001</v>
      </c>
      <c r="O1352" s="14">
        <v>40.307740000000003</v>
      </c>
      <c r="P1352" s="9">
        <v>48.605060000000002</v>
      </c>
      <c r="Q1352" s="9">
        <v>49.804630000000003</v>
      </c>
      <c r="R1352" s="23">
        <v>27.37717</v>
      </c>
      <c r="S1352" s="8">
        <v>0.11498999999999999</v>
      </c>
      <c r="T1352" s="9">
        <v>3.4450000000000001E-2</v>
      </c>
      <c r="U1352" s="24">
        <v>1.881E-2</v>
      </c>
    </row>
    <row r="1353" spans="1:21" ht="12" customHeight="1" x14ac:dyDescent="0.25">
      <c r="A1353" s="5">
        <v>3281</v>
      </c>
      <c r="B1353" s="19" t="s">
        <v>665</v>
      </c>
      <c r="C1353" s="19" t="s">
        <v>12</v>
      </c>
      <c r="D1353" s="5" t="s">
        <v>666</v>
      </c>
      <c r="E1353" s="6">
        <v>366338.74064769002</v>
      </c>
      <c r="F1353" s="6">
        <v>6548621.7129734</v>
      </c>
      <c r="G1353" s="7" t="str">
        <f>HYPERLINK("https://minkarta.lantmateriet.se/?e=366338,74064769&amp;n=6548621,7129734&amp;z=12&amp;profile=flygbildmedgranser&amp;background=2&amp;boundaries=true","Visa")</f>
        <v>Visa</v>
      </c>
      <c r="H1353" s="5" t="s">
        <v>9</v>
      </c>
      <c r="I1353" s="8">
        <v>54.378590000000003</v>
      </c>
      <c r="J1353" s="9">
        <v>67.822659999999999</v>
      </c>
      <c r="K1353" s="9">
        <v>69.519170000000003</v>
      </c>
      <c r="L1353" s="14">
        <v>55.169159999999998</v>
      </c>
      <c r="M1353" s="9">
        <v>68.609189999999998</v>
      </c>
      <c r="N1353" s="9">
        <v>69.824399999999997</v>
      </c>
      <c r="O1353" s="14">
        <v>55.232790000000001</v>
      </c>
      <c r="P1353" s="9">
        <v>68.643640000000005</v>
      </c>
      <c r="Q1353" s="9">
        <v>69.843220000000002</v>
      </c>
      <c r="R1353" s="23">
        <v>26.409849999999999</v>
      </c>
      <c r="S1353" s="8">
        <v>6.3630000000000006E-2</v>
      </c>
      <c r="T1353" s="9">
        <v>3.4450000000000001E-2</v>
      </c>
      <c r="U1353" s="24">
        <v>1.882E-2</v>
      </c>
    </row>
    <row r="1354" spans="1:21" ht="12" customHeight="1" x14ac:dyDescent="0.25">
      <c r="A1354" s="5">
        <v>3365</v>
      </c>
      <c r="B1354" s="19" t="s">
        <v>667</v>
      </c>
      <c r="C1354" s="19" t="s">
        <v>254</v>
      </c>
      <c r="D1354" s="5" t="s">
        <v>668</v>
      </c>
      <c r="E1354" s="6">
        <v>366989.33248464001</v>
      </c>
      <c r="F1354" s="6">
        <v>6548888.4261611998</v>
      </c>
      <c r="G1354" s="7" t="str">
        <f>HYPERLINK("https://minkarta.lantmateriet.se/?e=366989,33248464&amp;n=6548888,4261612&amp;z=12&amp;profile=flygbildmedgranser&amp;background=2&amp;boundaries=true","Visa")</f>
        <v>Visa</v>
      </c>
      <c r="H1354" s="5" t="s">
        <v>11</v>
      </c>
      <c r="I1354" s="8">
        <v>42.483130000000003</v>
      </c>
      <c r="J1354" s="9">
        <v>46.747010000000003</v>
      </c>
      <c r="K1354" s="9">
        <v>48.315750000000001</v>
      </c>
      <c r="L1354" s="14">
        <v>43.390169999999998</v>
      </c>
      <c r="M1354" s="9">
        <v>47.203530000000001</v>
      </c>
      <c r="N1354" s="9">
        <v>48.821249999999999</v>
      </c>
      <c r="O1354" s="14">
        <v>43.549480000000003</v>
      </c>
      <c r="P1354" s="9">
        <v>47.234610000000004</v>
      </c>
      <c r="Q1354" s="9">
        <v>48.850859999999997</v>
      </c>
      <c r="R1354" s="23">
        <v>32.462600000000002</v>
      </c>
      <c r="S1354" s="8">
        <v>0.15931000000000001</v>
      </c>
      <c r="T1354" s="9">
        <v>3.108E-2</v>
      </c>
      <c r="U1354" s="24">
        <v>2.9610000000000001E-2</v>
      </c>
    </row>
    <row r="1355" spans="1:21" ht="12" customHeight="1" x14ac:dyDescent="0.25">
      <c r="A1355" s="5">
        <v>3366</v>
      </c>
      <c r="B1355" s="19" t="s">
        <v>669</v>
      </c>
      <c r="C1355" s="19" t="s">
        <v>254</v>
      </c>
      <c r="D1355" s="5" t="s">
        <v>670</v>
      </c>
      <c r="E1355" s="6">
        <v>366979.77597885003</v>
      </c>
      <c r="F1355" s="6">
        <v>6548894.7701650001</v>
      </c>
      <c r="G1355" s="7" t="str">
        <f>HYPERLINK("https://minkarta.lantmateriet.se/?e=366979,77597885&amp;n=6548894,770165&amp;z=12&amp;profile=flygbildmedgranser&amp;background=2&amp;boundaries=true","Visa")</f>
        <v>Visa</v>
      </c>
      <c r="H1355" s="5" t="s">
        <v>11</v>
      </c>
      <c r="I1355" s="8">
        <v>42.755580000000002</v>
      </c>
      <c r="J1355" s="9">
        <v>46.769170000000003</v>
      </c>
      <c r="K1355" s="9">
        <v>48.337919999999997</v>
      </c>
      <c r="L1355" s="14">
        <v>43.669589999999999</v>
      </c>
      <c r="M1355" s="9">
        <v>47.225700000000003</v>
      </c>
      <c r="N1355" s="9">
        <v>48.843420000000002</v>
      </c>
      <c r="O1355" s="14">
        <v>43.861829999999998</v>
      </c>
      <c r="P1355" s="9">
        <v>47.256779999999999</v>
      </c>
      <c r="Q1355" s="9">
        <v>48.873019999999997</v>
      </c>
      <c r="R1355" s="23">
        <v>35.176929999999999</v>
      </c>
      <c r="S1355" s="8">
        <v>0.19223999999999999</v>
      </c>
      <c r="T1355" s="9">
        <v>3.108E-2</v>
      </c>
      <c r="U1355" s="24">
        <v>2.9600000000000001E-2</v>
      </c>
    </row>
  </sheetData>
  <autoFilter ref="A4:U1355" xr:uid="{00000000-0001-0000-0100-000000000000}"/>
  <mergeCells count="8">
    <mergeCell ref="S2:U2"/>
    <mergeCell ref="S1:U1"/>
    <mergeCell ref="O1:R1"/>
    <mergeCell ref="I1:K1"/>
    <mergeCell ref="L1:N1"/>
    <mergeCell ref="I2:K2"/>
    <mergeCell ref="L2:N2"/>
    <mergeCell ref="O2:Q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519E64B2E8C143B7D4B2D8E468B0D8" ma:contentTypeVersion="13" ma:contentTypeDescription="Skapa ett nytt dokument." ma:contentTypeScope="" ma:versionID="bcdced231dfdee326e344b81df274071">
  <xsd:schema xmlns:xsd="http://www.w3.org/2001/XMLSchema" xmlns:xs="http://www.w3.org/2001/XMLSchema" xmlns:p="http://schemas.microsoft.com/office/2006/metadata/properties" xmlns:ns2="4bb1b121-3ca0-4b1c-bbfb-2dfea5865b67" xmlns:ns3="32dfeaf0-f649-481b-8ffc-a8700d00cbe8" targetNamespace="http://schemas.microsoft.com/office/2006/metadata/properties" ma:root="true" ma:fieldsID="8962fd5001465c827e5458c2ac42425d" ns2:_="" ns3:_="">
    <xsd:import namespace="4bb1b121-3ca0-4b1c-bbfb-2dfea5865b67"/>
    <xsd:import namespace="32dfeaf0-f649-481b-8ffc-a8700d00cb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b1b121-3ca0-4b1c-bbfb-2dfea5865b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markeringar" ma:readOnly="false" ma:fieldId="{5cf76f15-5ced-4ddc-b409-7134ff3c332f}" ma:taxonomyMulti="true" ma:sspId="b0ec1577-2062-4a06-b449-4fd2c7290a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feaf0-f649-481b-8ffc-a8700d00cb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e84aaf80-4ee5-47cd-adea-ed7cc164ab2c}" ma:internalName="TaxCatchAll" ma:showField="CatchAllData" ma:web="32dfeaf0-f649-481b-8ffc-a8700d00cb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2dfeaf0-f649-481b-8ffc-a8700d00cbe8" xsi:nil="true"/>
    <lcf76f155ced4ddcb4097134ff3c332f xmlns="4bb1b121-3ca0-4b1c-bbfb-2dfea5865b6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26B6E9-4206-430B-97AA-6AC89A063B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b1b121-3ca0-4b1c-bbfb-2dfea5865b67"/>
    <ds:schemaRef ds:uri="32dfeaf0-f649-481b-8ffc-a8700d00cb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6C16EB-84B3-49A6-88DB-693108861BB9}">
  <ds:schemaRefs>
    <ds:schemaRef ds:uri="http://schemas.microsoft.com/office/2006/metadata/properties"/>
    <ds:schemaRef ds:uri="http://schemas.microsoft.com/office/infopath/2007/PartnerControls"/>
    <ds:schemaRef ds:uri="32dfeaf0-f649-481b-8ffc-a8700d00cbe8"/>
    <ds:schemaRef ds:uri="4bb1b121-3ca0-4b1c-bbfb-2dfea5865b67"/>
  </ds:schemaRefs>
</ds:datastoreItem>
</file>

<file path=customXml/itemProps3.xml><?xml version="1.0" encoding="utf-8"?>
<ds:datastoreItem xmlns:ds="http://schemas.openxmlformats.org/officeDocument/2006/customXml" ds:itemID="{B9EF43B0-343A-4160-98C2-7BD326FAE8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Tabellbeskrivning</vt:lpstr>
      <vt:lpstr>Ljudnivåer vid fasad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Per-Ola Eriksson</dc:creator>
  <cp:lastModifiedBy>Linda Eriksson</cp:lastModifiedBy>
  <dcterms:created xsi:type="dcterms:W3CDTF">2022-01-18T09:51:37Z</dcterms:created>
  <dcterms:modified xsi:type="dcterms:W3CDTF">2023-12-05T13:11:43Z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0x010100E3519E64B2E8C143B7D4B2D8E468B0D8</vt:lpwstr>
  </property>
</Properties>
</file>